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workbookProtection workbookAlgorithmName="SHA-512" workbookHashValue="o2oRhHWFjZB9kwCbUvACtiuMVM2RGKlWRIkSs2GqjEPEgOPYn19g+eAYIG3SMUUa9l3dkMJw+6fcN/R623tIPg==" workbookSaltValue="jsRVJU9orqv8S31k3oP2rw==" workbookSpinCount="100000" lockStructure="1"/>
  <bookViews>
    <workbookView xWindow="480" yWindow="480" windowWidth="25120" windowHeight="15580" tabRatio="500"/>
  </bookViews>
  <sheets>
    <sheet name="USER" sheetId="2" r:id="rId1"/>
    <sheet name="table by facility" sheetId="3" state="hidden" r:id="rId2"/>
    <sheet name="Drying" sheetId="4" state="hidden" r:id="rId3"/>
  </sheets>
  <definedNames>
    <definedName name="_xlnm.Print_Area" localSheetId="1">'table by facility'!$A$1:$F$58</definedName>
    <definedName name="_xlnm.Print_Area" localSheetId="0">USER!$A$1:$G$62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1" i="2" l="1"/>
  <c r="E61" i="2"/>
  <c r="E90" i="3"/>
  <c r="E84" i="3"/>
  <c r="D82" i="3"/>
  <c r="E52" i="2"/>
  <c r="D91" i="3"/>
  <c r="F54" i="2"/>
  <c r="D88" i="3"/>
  <c r="F52" i="2"/>
  <c r="D87" i="3"/>
  <c r="F51" i="2"/>
  <c r="D85" i="3"/>
  <c r="E54" i="2"/>
  <c r="D81" i="3"/>
  <c r="E51" i="2"/>
  <c r="D89" i="3"/>
  <c r="D83" i="3"/>
  <c r="E79" i="3"/>
  <c r="Q18" i="2"/>
  <c r="H18" i="2"/>
  <c r="D74" i="3"/>
  <c r="F49" i="2"/>
  <c r="F50" i="2"/>
  <c r="D73" i="3"/>
  <c r="E49" i="2"/>
  <c r="E50" i="2"/>
  <c r="D3" i="3"/>
  <c r="E37" i="2"/>
  <c r="E38" i="2"/>
  <c r="E71" i="3"/>
  <c r="D29" i="3"/>
  <c r="E44" i="2"/>
  <c r="D31" i="3"/>
  <c r="D16" i="3"/>
  <c r="F39" i="2"/>
  <c r="D10" i="3"/>
  <c r="E39" i="2"/>
  <c r="D11" i="3"/>
  <c r="E40" i="2"/>
  <c r="D12" i="3"/>
  <c r="D14" i="3"/>
  <c r="D46" i="3"/>
  <c r="E56" i="2"/>
  <c r="D48" i="3"/>
  <c r="D39" i="3"/>
  <c r="F47" i="2"/>
  <c r="D35" i="3"/>
  <c r="D36" i="3"/>
  <c r="F45" i="2"/>
  <c r="D37" i="3"/>
  <c r="D30" i="3"/>
  <c r="E45" i="2"/>
  <c r="D20" i="3"/>
  <c r="D17" i="3"/>
  <c r="F40" i="2"/>
  <c r="D18" i="3"/>
  <c r="Q15" i="2"/>
  <c r="H15" i="2"/>
  <c r="Q16" i="2"/>
  <c r="H16" i="2"/>
  <c r="Q19" i="2"/>
  <c r="H19" i="2"/>
  <c r="D53" i="3"/>
  <c r="D47" i="3"/>
  <c r="E57" i="2"/>
  <c r="B26" i="4"/>
  <c r="B28" i="4"/>
  <c r="E36" i="4"/>
  <c r="N36" i="4"/>
  <c r="D31" i="4"/>
  <c r="E31" i="4"/>
  <c r="D33" i="3"/>
  <c r="E47" i="2"/>
  <c r="R6" i="4"/>
  <c r="E30" i="4"/>
  <c r="E32" i="4"/>
  <c r="E33" i="4"/>
  <c r="E37" i="4"/>
  <c r="N37" i="4"/>
  <c r="D32" i="4"/>
  <c r="D33" i="4"/>
  <c r="Q6" i="4"/>
  <c r="D30" i="4"/>
  <c r="D34" i="4"/>
  <c r="M34" i="4"/>
  <c r="R9" i="4"/>
  <c r="R8" i="4"/>
  <c r="R7" i="4"/>
  <c r="Q9" i="4"/>
  <c r="Q8" i="4"/>
  <c r="Q7" i="4"/>
  <c r="B29" i="4"/>
  <c r="E20" i="4"/>
  <c r="F19" i="4"/>
  <c r="E19" i="4"/>
  <c r="J15" i="4"/>
  <c r="I15" i="4"/>
  <c r="H15" i="4"/>
  <c r="F15" i="4"/>
  <c r="E15" i="4"/>
  <c r="D15" i="4"/>
  <c r="J11" i="4"/>
  <c r="I11" i="4"/>
  <c r="H11" i="4"/>
  <c r="F11" i="4"/>
  <c r="E11" i="4"/>
  <c r="D11" i="4"/>
  <c r="L9" i="4"/>
  <c r="L8" i="4"/>
  <c r="L7" i="4"/>
  <c r="J7" i="4"/>
  <c r="I7" i="4"/>
  <c r="H7" i="4"/>
  <c r="F7" i="4"/>
  <c r="E7" i="4"/>
  <c r="D7" i="4"/>
  <c r="N6" i="4"/>
  <c r="L6" i="4"/>
  <c r="D4" i="3"/>
  <c r="F37" i="2"/>
  <c r="F38" i="2"/>
  <c r="E42" i="2"/>
  <c r="F42" i="2"/>
  <c r="F44" i="2"/>
  <c r="D52" i="3"/>
  <c r="F56" i="2"/>
  <c r="F57" i="2"/>
  <c r="D54" i="3"/>
  <c r="D50" i="3"/>
  <c r="E59" i="2"/>
  <c r="D56" i="3"/>
  <c r="F59" i="2"/>
  <c r="E63" i="3"/>
  <c r="D66" i="3"/>
  <c r="E44" i="3"/>
  <c r="E27" i="3"/>
  <c r="E8" i="3"/>
  <c r="E1" i="3"/>
  <c r="D65" i="3"/>
  <c r="B36" i="4"/>
  <c r="D37" i="4"/>
  <c r="M37" i="4"/>
  <c r="B34" i="4"/>
  <c r="B35" i="4"/>
  <c r="E34" i="4"/>
  <c r="N34" i="4"/>
  <c r="D35" i="4"/>
  <c r="M35" i="4"/>
  <c r="B37" i="4"/>
  <c r="D36" i="4"/>
  <c r="M36" i="4"/>
  <c r="E35" i="4"/>
  <c r="N35" i="4"/>
  <c r="G34" i="4"/>
  <c r="L34" i="4"/>
  <c r="E38" i="3"/>
  <c r="D38" i="3"/>
  <c r="E55" i="3"/>
  <c r="D55" i="3"/>
  <c r="D90" i="3"/>
  <c r="E19" i="3"/>
  <c r="D19" i="3"/>
  <c r="L36" i="4"/>
  <c r="G36" i="4"/>
  <c r="G37" i="4"/>
  <c r="L37" i="4"/>
  <c r="E32" i="3"/>
  <c r="D32" i="3"/>
  <c r="E49" i="3"/>
  <c r="D49" i="3"/>
  <c r="D84" i="3"/>
  <c r="E13" i="3"/>
  <c r="D13" i="3"/>
  <c r="L35" i="4"/>
  <c r="G35" i="4"/>
  <c r="E41" i="2"/>
  <c r="E43" i="2"/>
  <c r="D15" i="3"/>
  <c r="D21" i="3"/>
  <c r="F41" i="2"/>
  <c r="F43" i="2"/>
  <c r="F53" i="2"/>
  <c r="F55" i="2"/>
  <c r="D92" i="3"/>
  <c r="D57" i="3"/>
  <c r="F58" i="2"/>
  <c r="F60" i="2"/>
  <c r="E53" i="2"/>
  <c r="E55" i="2"/>
  <c r="D86" i="3"/>
  <c r="F46" i="2"/>
  <c r="F48" i="2"/>
  <c r="D40" i="3"/>
  <c r="D51" i="3"/>
  <c r="E58" i="2"/>
  <c r="E60" i="2"/>
  <c r="D34" i="3"/>
  <c r="E46" i="2"/>
  <c r="E48" i="2"/>
</calcChain>
</file>

<file path=xl/sharedStrings.xml><?xml version="1.0" encoding="utf-8"?>
<sst xmlns="http://schemas.openxmlformats.org/spreadsheetml/2006/main" count="278" uniqueCount="114">
  <si>
    <t>DATE:</t>
  </si>
  <si>
    <t>PRINT NAME:</t>
  </si>
  <si>
    <t>SIGNATURE:</t>
  </si>
  <si>
    <t>Bound</t>
  </si>
  <si>
    <t>Source</t>
  </si>
  <si>
    <t>Equation</t>
  </si>
  <si>
    <t>Lower</t>
  </si>
  <si>
    <t>House</t>
  </si>
  <si>
    <t>Manure Storage Area</t>
  </si>
  <si>
    <t>Facility Total, Lower Bound</t>
  </si>
  <si>
    <t>Upper</t>
  </si>
  <si>
    <t>Facility Total, Upper Bound</t>
  </si>
  <si>
    <t>Enriched Colony, Manure Belt System</t>
  </si>
  <si>
    <t>Aviary, Manure Belt System</t>
  </si>
  <si>
    <t>Manure Composting System</t>
  </si>
  <si>
    <t>Number of Layers</t>
  </si>
  <si>
    <t>TOTAL ESTIMATED FARM EMISSIONS</t>
  </si>
  <si>
    <t>FACTOR *</t>
  </si>
  <si>
    <t>Estimated Daily Ammonia Emissions – Aviary, Manure Belt System</t>
  </si>
  <si>
    <t>Estimated Daily Ammonia Emissions – Enriched Colony, Manure Belt System</t>
  </si>
  <si>
    <t xml:space="preserve">Manure Composting </t>
  </si>
  <si>
    <t>House + Manure Storage + Composting</t>
  </si>
  <si>
    <t>Total Number of MCS Hens/1,000,000 * 573</t>
  </si>
  <si>
    <t>Total Number of MCS Hens/1,000,000 * 1168</t>
  </si>
  <si>
    <t>Estimated Daily Ammonia Emissions – Manure Composting System (MCS)</t>
  </si>
  <si>
    <t>FACILITY NAME:</t>
  </si>
  <si>
    <t>FACILITY ADDRESS:</t>
  </si>
  <si>
    <t>Facility Type</t>
  </si>
  <si>
    <t>Conventional Cage, Hi-Rise</t>
  </si>
  <si>
    <t>Conventional Cage, Manure Belt System</t>
  </si>
  <si>
    <t>TOTAL in Houses *</t>
  </si>
  <si>
    <t>* Enter the number of hens currently in housing structure.</t>
  </si>
  <si>
    <t>Estimated Daily Ammonia Emissions – Conventional Cage Hi-Rise</t>
  </si>
  <si>
    <t>Total Number of AV MBS Hens/1,000,000 * 375</t>
  </si>
  <si>
    <t>Total Number of AV MBS Hens/1,000,000 * 434</t>
  </si>
  <si>
    <t>Total Number of AV MBS Hens/1,000,000 * 418</t>
  </si>
  <si>
    <t>Total Number of EC MBS Hens/1,000,000 * 79</t>
  </si>
  <si>
    <t>Total Number of EC MBS Hens/1,000,000 * 225</t>
  </si>
  <si>
    <t>Total Number of EC MBS Hens/1,000,000 * 267</t>
  </si>
  <si>
    <t>Total Number of EC MBS Hens/1,000,000 * 260</t>
  </si>
  <si>
    <t>Total Number of CC MBS Hens/1,000,000 * 117</t>
  </si>
  <si>
    <t>Total Number of CC MBS Hens/1,000,000 * 430</t>
  </si>
  <si>
    <t>Total Number of CC MBS Hens/1,000,000 * 416</t>
  </si>
  <si>
    <t>Total Number of CC MBS Hens/1,000,000 * 495</t>
  </si>
  <si>
    <t>Total Number of AV MBS Hens/1,000,000 * 170</t>
  </si>
  <si>
    <t>Estimated Daily Ammonia Emissions – Conventional Cage, Manure Belt System</t>
  </si>
  <si>
    <t>* The emission factor (lb/day) is based on 1 million hens.</t>
  </si>
  <si>
    <t>Please enter facility data into green cells to obtain estimated farm emissions.</t>
  </si>
  <si>
    <t>Lower (lb/day)</t>
  </si>
  <si>
    <t>Upper (lb/day)</t>
  </si>
  <si>
    <t>EMISSION FACTOR *</t>
  </si>
  <si>
    <t>Zero (0) if no manure composting.  If composting, the calculated value is shown to the right.</t>
  </si>
  <si>
    <t>Hauling Manure Off Site</t>
  </si>
  <si>
    <r>
      <t>Value</t>
    </r>
    <r>
      <rPr>
        <b/>
        <sz val="11"/>
        <rFont val="Calibri"/>
        <scheme val="minor"/>
      </rPr>
      <t xml:space="preserve"> (lb/day)</t>
    </r>
  </si>
  <si>
    <t>Storage</t>
  </si>
  <si>
    <t>Compost</t>
  </si>
  <si>
    <t>Facility Total</t>
  </si>
  <si>
    <t>ESTIMATED SOURCE AND TOTAL FACILITY EMISSIONS, by HOUSING TYPE</t>
  </si>
  <si>
    <t>Manure dried &amp; hauled off</t>
  </si>
  <si>
    <t>Table 4. Nitrogen concentrations and losses</t>
  </si>
  <si>
    <t>Drying</t>
  </si>
  <si>
    <t>Drying Depth</t>
  </si>
  <si>
    <t>Nitrogen Content (mg/kg)--------</t>
  </si>
  <si>
    <t>Losses (%)-------------------------------</t>
  </si>
  <si>
    <t>Temp (C)</t>
  </si>
  <si>
    <t>(cm)</t>
  </si>
  <si>
    <t>TKN</t>
  </si>
  <si>
    <t>Org-N</t>
  </si>
  <si>
    <t>Am-N</t>
  </si>
  <si>
    <t>Total</t>
  </si>
  <si>
    <t>Drying temp (F, C)</t>
  </si>
  <si>
    <t>% am-N loss of TKN</t>
  </si>
  <si>
    <t>(extrapolated)</t>
  </si>
  <si>
    <t>avg</t>
  </si>
  <si>
    <t>Raw manure</t>
  </si>
  <si>
    <t>-</t>
  </si>
  <si>
    <t>MC</t>
  </si>
  <si>
    <t>Density, kg/m^3</t>
  </si>
  <si>
    <t xml:space="preserve">Layer in CC MB house </t>
  </si>
  <si>
    <t>DFI, g/d</t>
  </si>
  <si>
    <t>CP, %</t>
  </si>
  <si>
    <t>DFI-N, g/d</t>
  </si>
  <si>
    <t>Feed in manure, %</t>
  </si>
  <si>
    <t>Manure-N, g/d</t>
  </si>
  <si>
    <t>MP @75%MC, g/d</t>
  </si>
  <si>
    <t>Drying NH3-N loss, %, @ 86F</t>
  </si>
  <si>
    <t>For 86F drying temperature (extrapolated)</t>
  </si>
  <si>
    <t>Drying NH3-N loss, %, @ 104F</t>
  </si>
  <si>
    <t>For 104F drying temperature (expt data)</t>
  </si>
  <si>
    <t>Drying NH3-N loss, %, @ 122F</t>
  </si>
  <si>
    <t>For 122F drying temperature (expt data)</t>
  </si>
  <si>
    <t>Drying NH3-N loss, %, @ 140F</t>
  </si>
  <si>
    <t>For 140F drying temperature (expt data)</t>
  </si>
  <si>
    <t>Drying NH3 loss, g/d, @86F</t>
  </si>
  <si>
    <t>lb/MM-d</t>
  </si>
  <si>
    <t>Drying NH3 loss, g/d, @104F</t>
  </si>
  <si>
    <t>Drying NH3 loss, g/d, @122F</t>
  </si>
  <si>
    <t>Drying NH3 loss, g/d, @140F</t>
  </si>
  <si>
    <t>min</t>
  </si>
  <si>
    <t>max</t>
  </si>
  <si>
    <t>If manure is hauled off site immediately.</t>
  </si>
  <si>
    <t>If manure is hauled off site immediately after drying.</t>
  </si>
  <si>
    <r>
      <t xml:space="preserve">Manure Composting System (MCS) </t>
    </r>
    <r>
      <rPr>
        <vertAlign val="superscript"/>
        <sz val="12"/>
        <color theme="1"/>
        <rFont val="Calibri"/>
        <scheme val="minor"/>
      </rPr>
      <t>&amp;</t>
    </r>
  </si>
  <si>
    <r>
      <rPr>
        <vertAlign val="superscript"/>
        <sz val="12"/>
        <color theme="1"/>
        <rFont val="Calibri"/>
        <scheme val="minor"/>
      </rPr>
      <t>&amp;</t>
    </r>
    <r>
      <rPr>
        <sz val="12"/>
        <color theme="1"/>
        <rFont val="Calibri"/>
        <family val="2"/>
        <scheme val="minor"/>
      </rPr>
      <t xml:space="preserve"> Enter the number of hens whose manure goes to the compost system.</t>
    </r>
  </si>
  <si>
    <t>Please enter manure drying temperature in Fahrenheit for the ACTIVE drying process (86, 104, 122, or 140)</t>
  </si>
  <si>
    <t>^ If manure is hauled off the farm upon removal from the house (i.e., no on-farm storage), enter the number of hens for this amount of manure.</t>
  </si>
  <si>
    <r>
      <rPr>
        <vertAlign val="superscript"/>
        <sz val="12"/>
        <color theme="1"/>
        <rFont val="Libian SC Regular"/>
      </rPr>
      <t>★</t>
    </r>
    <r>
      <rPr>
        <sz val="12"/>
        <color theme="1"/>
        <rFont val="Calibri"/>
        <family val="2"/>
        <scheme val="minor"/>
      </rPr>
      <t xml:space="preserve"> If manure is hauled off the farm immediately after ACTIVE drying (i.e., no on-farm storage), enter the number of hens for this amount of manure.</t>
    </r>
  </si>
  <si>
    <t>Manure hauled off farm upon removal from houses^</t>
  </si>
  <si>
    <r>
      <t xml:space="preserve">ACTIVE manure driying and hauled off farm </t>
    </r>
    <r>
      <rPr>
        <b/>
        <vertAlign val="superscript"/>
        <sz val="11"/>
        <color theme="1"/>
        <rFont val="Libian SC Regular"/>
      </rPr>
      <t>★</t>
    </r>
  </si>
  <si>
    <t>Calculation of Ammonia Emission from Layer Farm</t>
  </si>
  <si>
    <t>Estimated Daily Ammonia Emissions – CF Single-level WITHOUT Manure Belt</t>
  </si>
  <si>
    <t>Cage-Free Single Level, In-barn Manure Storage</t>
  </si>
  <si>
    <t>Cage-Free Single Level, Manure Removal with Belt</t>
  </si>
  <si>
    <t>Summary Table. Upper and Lower Bound Estimates for Sources and Facility Totals, by Housing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</si>
</sst>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0.0%"/>
    <numFmt numFmtId="168" formatCode="0.0"/>
    <numFmt numFmtId="169" formatCode="0.000"/>
    <numFmt numFmtId="170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0"/>
      <name val="Calibri"/>
      <scheme val="minor"/>
    </font>
    <font>
      <vertAlign val="superscript"/>
      <sz val="12"/>
      <color theme="1"/>
      <name val="Calibri"/>
      <scheme val="minor"/>
    </font>
    <font>
      <sz val="12"/>
      <color theme="0" tint="-4.9989318521683403E-2"/>
      <name val="Calibri"/>
      <scheme val="minor"/>
    </font>
    <font>
      <vertAlign val="superscript"/>
      <sz val="12"/>
      <color theme="1"/>
      <name val="Libian SC Regular"/>
    </font>
    <font>
      <b/>
      <vertAlign val="superscript"/>
      <sz val="11"/>
      <color theme="1"/>
      <name val="Libian SC Regula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0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0" fillId="0" borderId="0" xfId="0" applyFont="1"/>
    <xf numFmtId="0" fontId="0" fillId="0" borderId="0" xfId="0" applyProtection="1"/>
    <xf numFmtId="0" fontId="5" fillId="0" borderId="0" xfId="0" applyFont="1" applyAlignment="1" applyProtection="1">
      <alignment horizontal="center" vertical="center" wrapText="1"/>
    </xf>
    <xf numFmtId="3" fontId="5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0" fillId="6" borderId="0" xfId="0" applyFont="1" applyFill="1"/>
    <xf numFmtId="0" fontId="12" fillId="0" borderId="20" xfId="0" applyFont="1" applyBorder="1" applyProtection="1"/>
    <xf numFmtId="165" fontId="11" fillId="4" borderId="20" xfId="1" applyNumberFormat="1" applyFont="1" applyFill="1" applyBorder="1" applyAlignment="1" applyProtection="1">
      <alignment vertical="center" shrinkToFit="1"/>
    </xf>
    <xf numFmtId="0" fontId="12" fillId="0" borderId="0" xfId="0" applyFont="1"/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center" wrapText="1"/>
    </xf>
    <xf numFmtId="166" fontId="14" fillId="0" borderId="8" xfId="0" applyNumberFormat="1" applyFont="1" applyFill="1" applyBorder="1" applyAlignment="1" applyProtection="1">
      <alignment horizontal="center" vertical="center" wrapText="1"/>
    </xf>
    <xf numFmtId="3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vertical="center" wrapText="1"/>
    </xf>
    <xf numFmtId="166" fontId="14" fillId="0" borderId="7" xfId="0" applyNumberFormat="1" applyFont="1" applyFill="1" applyBorder="1" applyAlignment="1" applyProtection="1">
      <alignment horizontal="center" vertical="center" wrapText="1"/>
    </xf>
    <xf numFmtId="3" fontId="14" fillId="0" borderId="19" xfId="0" applyNumberFormat="1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vertical="center" wrapText="1"/>
    </xf>
    <xf numFmtId="166" fontId="13" fillId="2" borderId="10" xfId="0" applyNumberFormat="1" applyFont="1" applyFill="1" applyBorder="1" applyAlignment="1" applyProtection="1">
      <alignment horizontal="center" vertical="center" wrapText="1"/>
    </xf>
    <xf numFmtId="3" fontId="13" fillId="5" borderId="1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Protection="1"/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4" xfId="0" applyFont="1" applyBorder="1" applyProtection="1"/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18" xfId="0" applyNumberFormat="1" applyFont="1" applyBorder="1" applyAlignment="1" applyProtection="1">
      <alignment horizontal="center" vertical="center" wrapText="1"/>
    </xf>
    <xf numFmtId="3" fontId="14" fillId="0" borderId="19" xfId="0" applyNumberFormat="1" applyFont="1" applyBorder="1" applyAlignment="1" applyProtection="1">
      <alignment horizontal="center" vertical="center" wrapText="1"/>
    </xf>
    <xf numFmtId="165" fontId="11" fillId="4" borderId="20" xfId="0" applyNumberFormat="1" applyFont="1" applyFill="1" applyBorder="1" applyAlignment="1" applyProtection="1">
      <alignment vertical="center" shrinkToFit="1"/>
    </xf>
    <xf numFmtId="0" fontId="11" fillId="0" borderId="2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horizontal="left" vertical="center" wrapText="1"/>
    </xf>
    <xf numFmtId="3" fontId="14" fillId="0" borderId="10" xfId="0" applyNumberFormat="1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166" fontId="0" fillId="3" borderId="7" xfId="1" applyNumberFormat="1" applyFont="1" applyFill="1" applyBorder="1" applyAlignment="1" applyProtection="1"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0" fillId="0" borderId="7" xfId="0" applyBorder="1" applyProtection="1"/>
    <xf numFmtId="0" fontId="6" fillId="4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3" fontId="5" fillId="6" borderId="7" xfId="0" applyNumberFormat="1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3" fontId="6" fillId="0" borderId="7" xfId="0" applyNumberFormat="1" applyFont="1" applyFill="1" applyBorder="1" applyAlignment="1" applyProtection="1">
      <alignment horizontal="center" vertical="center" wrapText="1"/>
    </xf>
    <xf numFmtId="3" fontId="6" fillId="6" borderId="7" xfId="0" applyNumberFormat="1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vertical="center" wrapText="1"/>
    </xf>
    <xf numFmtId="3" fontId="14" fillId="0" borderId="25" xfId="0" applyNumberFormat="1" applyFont="1" applyFill="1" applyBorder="1" applyAlignment="1" applyProtection="1">
      <alignment horizontal="center" vertical="center" wrapText="1"/>
    </xf>
    <xf numFmtId="3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166" fontId="17" fillId="0" borderId="0" xfId="0" applyNumberFormat="1" applyFont="1"/>
    <xf numFmtId="0" fontId="14" fillId="0" borderId="5" xfId="0" applyFont="1" applyBorder="1" applyAlignment="1" applyProtection="1">
      <alignment horizontal="center" vertical="center" wrapText="1"/>
    </xf>
    <xf numFmtId="166" fontId="0" fillId="7" borderId="7" xfId="1" applyNumberFormat="1" applyFont="1" applyFill="1" applyBorder="1" applyAlignment="1" applyProtection="1"/>
    <xf numFmtId="167" fontId="0" fillId="0" borderId="0" xfId="392" applyNumberFormat="1" applyFont="1"/>
    <xf numFmtId="0" fontId="0" fillId="0" borderId="0" xfId="0" applyFill="1"/>
    <xf numFmtId="168" fontId="0" fillId="0" borderId="0" xfId="392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2" fontId="6" fillId="0" borderId="0" xfId="0" applyNumberFormat="1" applyFont="1"/>
    <xf numFmtId="2" fontId="6" fillId="0" borderId="0" xfId="0" applyNumberFormat="1" applyFont="1" applyFill="1"/>
    <xf numFmtId="1" fontId="6" fillId="0" borderId="0" xfId="0" applyNumberFormat="1" applyFont="1"/>
    <xf numFmtId="0" fontId="6" fillId="0" borderId="0" xfId="0" applyFont="1" applyAlignment="1">
      <alignment horizontal="right" indent="1"/>
    </xf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169" fontId="0" fillId="0" borderId="0" xfId="0" applyNumberFormat="1"/>
    <xf numFmtId="1" fontId="0" fillId="0" borderId="0" xfId="0" applyNumberFormat="1"/>
    <xf numFmtId="167" fontId="0" fillId="0" borderId="0" xfId="0" applyNumberFormat="1"/>
    <xf numFmtId="169" fontId="6" fillId="0" borderId="0" xfId="0" applyNumberFormat="1" applyFont="1"/>
    <xf numFmtId="1" fontId="0" fillId="8" borderId="0" xfId="0" applyNumberFormat="1" applyFill="1"/>
    <xf numFmtId="0" fontId="0" fillId="8" borderId="0" xfId="0" applyFill="1"/>
    <xf numFmtId="170" fontId="0" fillId="0" borderId="0" xfId="1" applyNumberFormat="1" applyFont="1"/>
    <xf numFmtId="1" fontId="0" fillId="8" borderId="7" xfId="0" applyNumberFormat="1" applyFill="1" applyBorder="1"/>
    <xf numFmtId="0" fontId="0" fillId="8" borderId="0" xfId="0" applyFill="1" applyAlignment="1">
      <alignment horizontal="center"/>
    </xf>
    <xf numFmtId="0" fontId="4" fillId="8" borderId="7" xfId="0" applyFont="1" applyFill="1" applyBorder="1"/>
    <xf numFmtId="166" fontId="14" fillId="8" borderId="7" xfId="0" applyNumberFormat="1" applyFont="1" applyFill="1" applyBorder="1" applyAlignment="1" applyProtection="1">
      <alignment horizontal="center" vertical="center" wrapText="1"/>
    </xf>
    <xf numFmtId="3" fontId="14" fillId="8" borderId="25" xfId="0" applyNumberFormat="1" applyFont="1" applyFill="1" applyBorder="1" applyAlignment="1" applyProtection="1">
      <alignment horizontal="center" vertical="center" wrapText="1"/>
    </xf>
    <xf numFmtId="3" fontId="14" fillId="8" borderId="19" xfId="0" applyNumberFormat="1" applyFont="1" applyFill="1" applyBorder="1" applyAlignment="1" applyProtection="1">
      <alignment horizontal="center" vertical="center" wrapText="1"/>
    </xf>
    <xf numFmtId="0" fontId="15" fillId="9" borderId="7" xfId="0" applyFont="1" applyFill="1" applyBorder="1" applyAlignment="1" applyProtection="1">
      <alignment vertical="center" wrapText="1"/>
    </xf>
    <xf numFmtId="0" fontId="20" fillId="0" borderId="7" xfId="0" applyFont="1" applyFill="1" applyBorder="1" applyAlignment="1" applyProtection="1">
      <alignment horizontal="center" wrapText="1"/>
    </xf>
    <xf numFmtId="0" fontId="0" fillId="3" borderId="27" xfId="0" applyFill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26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center"/>
    </xf>
    <xf numFmtId="0" fontId="1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0" fillId="6" borderId="7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26" xfId="0" applyBorder="1" applyAlignment="1" applyProtection="1">
      <alignment horizontal="left" wrapText="1"/>
    </xf>
    <xf numFmtId="0" fontId="0" fillId="0" borderId="0" xfId="0" applyFill="1" applyAlignment="1" applyProtection="1">
      <alignment horizontal="left" shrinkToFit="1"/>
    </xf>
    <xf numFmtId="0" fontId="11" fillId="10" borderId="1" xfId="0" applyFont="1" applyFill="1" applyBorder="1" applyAlignment="1" applyProtection="1">
      <alignment horizontal="center" vertical="center" wrapText="1"/>
    </xf>
    <xf numFmtId="0" fontId="11" fillId="10" borderId="2" xfId="0" applyFont="1" applyFill="1" applyBorder="1" applyAlignment="1" applyProtection="1">
      <alignment horizontal="center" vertical="center" wrapText="1"/>
    </xf>
    <xf numFmtId="0" fontId="11" fillId="10" borderId="3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507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Normal" xfId="0" builtinId="0"/>
    <cellStyle name="Percent" xfId="39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NH3-N loss as % of TKN vs. drying</a:t>
            </a:r>
            <a:r>
              <a:rPr lang="en-US" baseline="0"/>
              <a:t> temperatsure (C)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6182919442762"/>
                  <c:y val="0.0181186205890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Drying!$M$7:$M$9</c:f>
              <c:numCache>
                <c:formatCode>0.0</c:formatCode>
                <c:ptCount val="3"/>
                <c:pt idx="0">
                  <c:v>40.0</c:v>
                </c:pt>
                <c:pt idx="1">
                  <c:v>50.0</c:v>
                </c:pt>
                <c:pt idx="2">
                  <c:v>60.0</c:v>
                </c:pt>
              </c:numCache>
            </c:numRef>
          </c:xVal>
          <c:yVal>
            <c:numRef>
              <c:f>Drying!$N$7:$N$9</c:f>
              <c:numCache>
                <c:formatCode>0.0</c:formatCode>
                <c:ptCount val="3"/>
                <c:pt idx="0">
                  <c:v>8.6</c:v>
                </c:pt>
                <c:pt idx="1">
                  <c:v>11.56</c:v>
                </c:pt>
                <c:pt idx="2">
                  <c:v>15.3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7-4AA1-8FE9-EF408595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95240"/>
        <c:axId val="2122201240"/>
      </c:scatterChart>
      <c:valAx>
        <c:axId val="21221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201240"/>
        <c:crosses val="autoZero"/>
        <c:crossBetween val="midCat"/>
      </c:valAx>
      <c:valAx>
        <c:axId val="212220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9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NH3-N loss as % of TKN vs. drying</a:t>
            </a:r>
            <a:r>
              <a:rPr lang="en-US" baseline="0"/>
              <a:t> temperatsure (C)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6182919442762"/>
                  <c:y val="0.0181186205890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Drying!$M$7:$M$9</c:f>
              <c:numCache>
                <c:formatCode>0.0</c:formatCode>
                <c:ptCount val="3"/>
                <c:pt idx="0">
                  <c:v>40.0</c:v>
                </c:pt>
                <c:pt idx="1">
                  <c:v>50.0</c:v>
                </c:pt>
                <c:pt idx="2">
                  <c:v>60.0</c:v>
                </c:pt>
              </c:numCache>
            </c:numRef>
          </c:xVal>
          <c:yVal>
            <c:numRef>
              <c:f>Drying!$Q$7:$Q$9</c:f>
              <c:numCache>
                <c:formatCode>General</c:formatCode>
                <c:ptCount val="3"/>
                <c:pt idx="0">
                  <c:v>7.42</c:v>
                </c:pt>
                <c:pt idx="1">
                  <c:v>10.83</c:v>
                </c:pt>
                <c:pt idx="2">
                  <c:v>14.95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7-4AA1-8FE9-EF408595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08792"/>
        <c:axId val="2122186200"/>
      </c:scatterChart>
      <c:valAx>
        <c:axId val="2122208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86200"/>
        <c:crosses val="autoZero"/>
        <c:crossBetween val="midCat"/>
      </c:valAx>
      <c:valAx>
        <c:axId val="212218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208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NH3-N loss as % of TKN vs. drying</a:t>
            </a:r>
            <a:r>
              <a:rPr lang="en-US" baseline="0"/>
              <a:t> temperatsure (C)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6182919442762"/>
                  <c:y val="0.0181186205890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Drying!$M$7:$M$9</c:f>
              <c:numCache>
                <c:formatCode>0.0</c:formatCode>
                <c:ptCount val="3"/>
                <c:pt idx="0">
                  <c:v>40.0</c:v>
                </c:pt>
                <c:pt idx="1">
                  <c:v>50.0</c:v>
                </c:pt>
                <c:pt idx="2">
                  <c:v>60.0</c:v>
                </c:pt>
              </c:numCache>
            </c:numRef>
          </c:xVal>
          <c:yVal>
            <c:numRef>
              <c:f>Drying!$R$7:$R$9</c:f>
              <c:numCache>
                <c:formatCode>General</c:formatCode>
                <c:ptCount val="3"/>
                <c:pt idx="0">
                  <c:v>10.88</c:v>
                </c:pt>
                <c:pt idx="1">
                  <c:v>12.56</c:v>
                </c:pt>
                <c:pt idx="2">
                  <c:v>15.83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7-4AA1-8FE9-EF408595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460184"/>
        <c:axId val="-2145159080"/>
      </c:scatterChart>
      <c:valAx>
        <c:axId val="2021460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159080"/>
        <c:crosses val="autoZero"/>
        <c:crossBetween val="midCat"/>
      </c:valAx>
      <c:valAx>
        <c:axId val="-214515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460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15</xdr:row>
      <xdr:rowOff>161925</xdr:rowOff>
    </xdr:from>
    <xdr:to>
      <xdr:col>17</xdr:col>
      <xdr:colOff>504825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28</xdr:col>
      <xdr:colOff>111125</xdr:colOff>
      <xdr:row>16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18</xdr:row>
      <xdr:rowOff>0</xdr:rowOff>
    </xdr:from>
    <xdr:to>
      <xdr:col>28</xdr:col>
      <xdr:colOff>111125</xdr:colOff>
      <xdr:row>32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1:Q89"/>
  <sheetViews>
    <sheetView tabSelected="1" zoomScale="108" zoomScaleNormal="108" zoomScalePageLayoutView="108" workbookViewId="0">
      <selection activeCell="C5" sqref="C5:F5"/>
    </sheetView>
  </sheetViews>
  <sheetFormatPr baseColWidth="10" defaultColWidth="11" defaultRowHeight="15" x14ac:dyDescent="0"/>
  <cols>
    <col min="1" max="1" width="10.33203125" style="3" customWidth="1"/>
    <col min="2" max="2" width="28.1640625" style="3" customWidth="1"/>
    <col min="3" max="3" width="17" style="3" customWidth="1"/>
    <col min="4" max="4" width="25.6640625" style="3" customWidth="1"/>
    <col min="5" max="5" width="21.5" style="3" customWidth="1"/>
    <col min="6" max="6" width="18.6640625" style="6" customWidth="1"/>
    <col min="7" max="7" width="0.83203125" customWidth="1"/>
  </cols>
  <sheetData>
    <row r="1" spans="1:17" ht="20">
      <c r="A1" s="102" t="s">
        <v>109</v>
      </c>
      <c r="B1" s="102"/>
      <c r="C1" s="102"/>
      <c r="D1" s="102"/>
      <c r="E1" s="102"/>
      <c r="F1" s="102"/>
    </row>
    <row r="3" spans="1:17">
      <c r="A3" s="3" t="s">
        <v>47</v>
      </c>
      <c r="Q3" s="10"/>
    </row>
    <row r="4" spans="1:17" ht="16" thickBot="1">
      <c r="Q4" s="10"/>
    </row>
    <row r="5" spans="1:17" ht="16" customHeight="1" thickBot="1">
      <c r="A5" s="91" t="s">
        <v>0</v>
      </c>
      <c r="B5" s="92"/>
      <c r="C5" s="103"/>
      <c r="D5" s="104"/>
      <c r="E5" s="104"/>
      <c r="F5" s="105"/>
      <c r="Q5" s="10"/>
    </row>
    <row r="6" spans="1:17" ht="16" customHeight="1" thickBot="1">
      <c r="A6" s="91" t="s">
        <v>25</v>
      </c>
      <c r="B6" s="92"/>
      <c r="C6" s="103"/>
      <c r="D6" s="104"/>
      <c r="E6" s="104"/>
      <c r="F6" s="105"/>
      <c r="Q6" s="10"/>
    </row>
    <row r="7" spans="1:17" ht="31" customHeight="1" thickBot="1">
      <c r="A7" s="91" t="s">
        <v>26</v>
      </c>
      <c r="B7" s="92"/>
      <c r="C7" s="103"/>
      <c r="D7" s="104"/>
      <c r="E7" s="104"/>
      <c r="F7" s="105"/>
      <c r="Q7" s="10"/>
    </row>
    <row r="8" spans="1:17" ht="16" customHeight="1" thickBot="1">
      <c r="A8" s="91" t="s">
        <v>1</v>
      </c>
      <c r="B8" s="92"/>
      <c r="C8" s="103"/>
      <c r="D8" s="104"/>
      <c r="E8" s="104"/>
      <c r="F8" s="105"/>
      <c r="Q8" s="10"/>
    </row>
    <row r="9" spans="1:17" ht="16" customHeight="1" thickBot="1">
      <c r="A9" s="91" t="s">
        <v>2</v>
      </c>
      <c r="B9" s="92"/>
      <c r="C9" s="103"/>
      <c r="D9" s="104"/>
      <c r="E9" s="104"/>
      <c r="F9" s="105"/>
      <c r="Q9" s="10"/>
    </row>
    <row r="10" spans="1:17">
      <c r="D10" s="4"/>
      <c r="E10" s="4"/>
      <c r="F10" s="3"/>
      <c r="Q10" s="10"/>
    </row>
    <row r="11" spans="1:17">
      <c r="D11" s="4"/>
      <c r="E11" s="4"/>
      <c r="F11" s="3"/>
      <c r="Q11" s="10"/>
    </row>
    <row r="12" spans="1:17">
      <c r="A12" s="46"/>
      <c r="B12" s="46"/>
      <c r="C12" s="93" t="s">
        <v>15</v>
      </c>
      <c r="D12" s="93"/>
      <c r="E12" s="93"/>
      <c r="F12" s="93"/>
      <c r="Q12" s="10"/>
    </row>
    <row r="13" spans="1:17" ht="35" customHeight="1">
      <c r="A13" s="97" t="s">
        <v>27</v>
      </c>
      <c r="B13" s="97"/>
      <c r="C13" s="45" t="s">
        <v>30</v>
      </c>
      <c r="D13" s="88" t="s">
        <v>107</v>
      </c>
      <c r="E13" s="88" t="s">
        <v>108</v>
      </c>
      <c r="F13" s="88" t="s">
        <v>102</v>
      </c>
      <c r="Q13" s="10"/>
    </row>
    <row r="14" spans="1:17">
      <c r="A14" s="95" t="s">
        <v>28</v>
      </c>
      <c r="B14" s="95"/>
      <c r="C14" s="44">
        <v>0</v>
      </c>
      <c r="D14" s="61"/>
      <c r="E14" s="61"/>
      <c r="F14" s="61"/>
      <c r="Q14" s="10"/>
    </row>
    <row r="15" spans="1:17">
      <c r="A15" s="95" t="s">
        <v>29</v>
      </c>
      <c r="B15" s="95"/>
      <c r="C15" s="44">
        <v>0</v>
      </c>
      <c r="D15" s="44">
        <v>0</v>
      </c>
      <c r="E15" s="44">
        <v>0</v>
      </c>
      <c r="F15" s="44">
        <v>0</v>
      </c>
      <c r="H15" s="7" t="str">
        <f>IF(Q15&gt;C15," warning, the number of hens in the 2nd column cannot be higher than the number of hens in the 1st column!","")</f>
        <v/>
      </c>
      <c r="I15" s="7"/>
      <c r="J15" s="7"/>
      <c r="K15" s="7"/>
      <c r="L15" s="7"/>
      <c r="M15" s="7"/>
      <c r="N15" s="7"/>
      <c r="O15" s="7"/>
      <c r="P15" s="7"/>
      <c r="Q15" s="59">
        <f>F15+D15+E15</f>
        <v>0</v>
      </c>
    </row>
    <row r="16" spans="1:17">
      <c r="A16" s="95" t="s">
        <v>13</v>
      </c>
      <c r="B16" s="95"/>
      <c r="C16" s="44">
        <v>0</v>
      </c>
      <c r="D16" s="44">
        <v>0</v>
      </c>
      <c r="E16" s="44">
        <v>0</v>
      </c>
      <c r="F16" s="44">
        <v>0</v>
      </c>
      <c r="H16" s="7" t="str">
        <f>IF(Q16&gt;C16," warning, the number of hens in the 2nd column cannot be higher than the number of hens in the 1st column!","")</f>
        <v/>
      </c>
      <c r="I16" s="7"/>
      <c r="J16" s="7"/>
      <c r="K16" s="7"/>
      <c r="L16" s="7"/>
      <c r="M16" s="7"/>
      <c r="N16" s="7"/>
      <c r="O16" s="7"/>
      <c r="P16" s="7"/>
      <c r="Q16" s="59">
        <f>F16+D16+E16</f>
        <v>0</v>
      </c>
    </row>
    <row r="17" spans="1:17">
      <c r="A17" s="94" t="s">
        <v>111</v>
      </c>
      <c r="B17" s="95"/>
      <c r="C17" s="44">
        <v>0</v>
      </c>
      <c r="D17" s="61"/>
      <c r="E17" s="61"/>
      <c r="F17" s="61"/>
      <c r="H17" s="7"/>
      <c r="I17" s="7"/>
      <c r="J17" s="7"/>
      <c r="K17" s="7"/>
      <c r="L17" s="7"/>
      <c r="M17" s="7"/>
      <c r="N17" s="7"/>
      <c r="O17" s="7"/>
      <c r="P17" s="7"/>
      <c r="Q17" s="59"/>
    </row>
    <row r="18" spans="1:17">
      <c r="A18" s="94" t="s">
        <v>112</v>
      </c>
      <c r="B18" s="94"/>
      <c r="C18" s="44">
        <v>0</v>
      </c>
      <c r="D18" s="44">
        <v>0</v>
      </c>
      <c r="E18" s="44">
        <v>0</v>
      </c>
      <c r="F18" s="44">
        <v>0</v>
      </c>
      <c r="H18" s="7" t="str">
        <f>IF(Q18&gt;C18," warning, the number of hens in the 2nd column cannot be higher than the number of hens in the 1st column!","")</f>
        <v/>
      </c>
      <c r="I18" s="7"/>
      <c r="J18" s="7"/>
      <c r="K18" s="7"/>
      <c r="L18" s="7"/>
      <c r="M18" s="7"/>
      <c r="N18" s="7"/>
      <c r="O18" s="7"/>
      <c r="P18" s="7"/>
      <c r="Q18" s="59">
        <f>F18+D18+E18</f>
        <v>0</v>
      </c>
    </row>
    <row r="19" spans="1:17" ht="16" customHeight="1">
      <c r="A19" s="95" t="s">
        <v>12</v>
      </c>
      <c r="B19" s="95"/>
      <c r="C19" s="44">
        <v>0</v>
      </c>
      <c r="D19" s="44">
        <v>0</v>
      </c>
      <c r="E19" s="44">
        <v>0</v>
      </c>
      <c r="F19" s="44">
        <v>0</v>
      </c>
      <c r="H19" s="7" t="str">
        <f>IF(Q19&gt;C19," warning, the number of hens in the 2nd column cannot be higher than the number of hens in the 1st column!","")</f>
        <v/>
      </c>
      <c r="I19" s="7"/>
      <c r="J19" s="7"/>
      <c r="K19" s="7"/>
      <c r="L19" s="7"/>
      <c r="M19" s="7"/>
      <c r="N19" s="7"/>
      <c r="O19" s="7"/>
      <c r="P19" s="7"/>
      <c r="Q19" s="59">
        <f>F19+D19+E19</f>
        <v>0</v>
      </c>
    </row>
    <row r="20" spans="1:17" ht="16" customHeight="1">
      <c r="A20" s="3" t="s">
        <v>31</v>
      </c>
      <c r="F20" s="4"/>
      <c r="Q20" s="10"/>
    </row>
    <row r="21" spans="1:17" ht="21.75" customHeight="1">
      <c r="A21" s="106" t="s">
        <v>105</v>
      </c>
      <c r="B21" s="106"/>
      <c r="C21" s="106"/>
      <c r="D21" s="106"/>
      <c r="E21" s="106"/>
      <c r="F21" s="106"/>
      <c r="Q21" s="10"/>
    </row>
    <row r="22" spans="1:17" ht="22.5" customHeight="1">
      <c r="A22" s="110" t="s">
        <v>106</v>
      </c>
      <c r="B22" s="110"/>
      <c r="C22" s="110"/>
      <c r="D22" s="110"/>
      <c r="E22" s="110"/>
      <c r="F22" s="110"/>
      <c r="Q22" s="10"/>
    </row>
    <row r="23" spans="1:17" ht="16" customHeight="1">
      <c r="A23" s="106" t="s">
        <v>103</v>
      </c>
      <c r="B23" s="106"/>
      <c r="C23" s="106"/>
      <c r="D23" s="106"/>
      <c r="E23" s="106"/>
      <c r="F23" s="106"/>
      <c r="Q23" s="10"/>
    </row>
    <row r="24" spans="1:17" ht="16" customHeight="1" thickBot="1">
      <c r="F24" s="3"/>
      <c r="Q24" s="10"/>
    </row>
    <row r="25" spans="1:17" ht="18" customHeight="1" thickBot="1">
      <c r="A25" s="107" t="s">
        <v>104</v>
      </c>
      <c r="B25" s="108"/>
      <c r="C25" s="108"/>
      <c r="D25" s="108"/>
      <c r="E25" s="109"/>
      <c r="F25" s="89">
        <v>104</v>
      </c>
      <c r="Q25" s="10"/>
    </row>
    <row r="26" spans="1:17">
      <c r="D26" s="6"/>
      <c r="E26" s="6"/>
      <c r="Q26" s="10"/>
    </row>
    <row r="27" spans="1:17">
      <c r="D27" s="6"/>
      <c r="E27" s="6"/>
      <c r="Q27" s="10"/>
    </row>
    <row r="28" spans="1:17">
      <c r="D28" s="6"/>
      <c r="E28" s="6"/>
      <c r="Q28" s="10"/>
    </row>
    <row r="29" spans="1:17">
      <c r="D29" s="6"/>
      <c r="E29" s="6"/>
      <c r="Q29" s="10"/>
    </row>
    <row r="30" spans="1:17">
      <c r="D30" s="6"/>
      <c r="E30" s="6"/>
      <c r="Q30" s="10"/>
    </row>
    <row r="31" spans="1:17">
      <c r="D31" s="6"/>
      <c r="E31" s="6"/>
      <c r="Q31" s="10"/>
    </row>
    <row r="32" spans="1:17">
      <c r="D32" s="6"/>
      <c r="E32" s="6"/>
      <c r="Q32" s="10"/>
    </row>
    <row r="33" spans="1:17" ht="20">
      <c r="A33" s="102" t="s">
        <v>109</v>
      </c>
      <c r="B33" s="102"/>
      <c r="C33" s="102"/>
      <c r="D33" s="102"/>
      <c r="E33" s="102"/>
      <c r="F33" s="102"/>
    </row>
    <row r="34" spans="1:17">
      <c r="D34" s="6"/>
      <c r="E34" s="6"/>
      <c r="Q34" s="10"/>
    </row>
    <row r="35" spans="1:17" ht="15" customHeight="1">
      <c r="A35" s="51" t="s">
        <v>113</v>
      </c>
      <c r="F35" s="3"/>
      <c r="H35" s="3"/>
      <c r="I35" s="3"/>
      <c r="Q35" s="10"/>
    </row>
    <row r="36" spans="1:17" ht="17" customHeight="1">
      <c r="A36" s="96" t="s">
        <v>57</v>
      </c>
      <c r="B36" s="96"/>
      <c r="C36" s="96"/>
      <c r="D36" s="96"/>
      <c r="E36" s="47" t="s">
        <v>48</v>
      </c>
      <c r="F36" s="47" t="s">
        <v>49</v>
      </c>
      <c r="Q36" s="10"/>
    </row>
    <row r="37" spans="1:17" ht="15" customHeight="1">
      <c r="A37" s="98" t="s">
        <v>28</v>
      </c>
      <c r="B37" s="98"/>
      <c r="C37" s="98"/>
      <c r="D37" s="48" t="s">
        <v>7</v>
      </c>
      <c r="E37" s="5">
        <f>'table by facility'!D3</f>
        <v>0</v>
      </c>
      <c r="F37" s="5">
        <f>'table by facility'!D4</f>
        <v>0</v>
      </c>
      <c r="Q37" s="10"/>
    </row>
    <row r="38" spans="1:17" ht="15" customHeight="1">
      <c r="A38" s="98"/>
      <c r="B38" s="98"/>
      <c r="C38" s="98"/>
      <c r="D38" s="57" t="s">
        <v>56</v>
      </c>
      <c r="E38" s="52">
        <f>SUM(E37:E37)</f>
        <v>0</v>
      </c>
      <c r="F38" s="52">
        <f>SUM(F37:F37)</f>
        <v>0</v>
      </c>
      <c r="Q38" s="10"/>
    </row>
    <row r="39" spans="1:17" ht="15" customHeight="1">
      <c r="A39" s="99" t="s">
        <v>29</v>
      </c>
      <c r="B39" s="99"/>
      <c r="C39" s="99"/>
      <c r="D39" s="50" t="s">
        <v>7</v>
      </c>
      <c r="E39" s="49">
        <f>'table by facility'!D10</f>
        <v>0</v>
      </c>
      <c r="F39" s="49">
        <f>'table by facility'!D16</f>
        <v>0</v>
      </c>
      <c r="Q39" s="10"/>
    </row>
    <row r="40" spans="1:17" ht="15" customHeight="1">
      <c r="A40" s="99"/>
      <c r="B40" s="99"/>
      <c r="C40" s="99"/>
      <c r="D40" s="50" t="s">
        <v>54</v>
      </c>
      <c r="E40" s="49">
        <f>'table by facility'!D11</f>
        <v>0</v>
      </c>
      <c r="F40" s="49">
        <f>'table by facility'!D17</f>
        <v>0</v>
      </c>
      <c r="Q40" s="10"/>
    </row>
    <row r="41" spans="1:17" ht="15" customHeight="1">
      <c r="A41" s="99"/>
      <c r="B41" s="99"/>
      <c r="C41" s="99"/>
      <c r="D41" s="50" t="s">
        <v>58</v>
      </c>
      <c r="E41" s="49">
        <f>'table by facility'!D13</f>
        <v>0</v>
      </c>
      <c r="F41" s="49">
        <f>'table by facility'!D19</f>
        <v>0</v>
      </c>
      <c r="Q41" s="10"/>
    </row>
    <row r="42" spans="1:17" ht="15" customHeight="1">
      <c r="A42" s="99"/>
      <c r="B42" s="99"/>
      <c r="C42" s="99"/>
      <c r="D42" s="50" t="s">
        <v>55</v>
      </c>
      <c r="E42" s="49">
        <f>'table by facility'!D14</f>
        <v>0</v>
      </c>
      <c r="F42" s="49">
        <f>'table by facility'!D20</f>
        <v>0</v>
      </c>
      <c r="Q42" s="10"/>
    </row>
    <row r="43" spans="1:17" ht="15" customHeight="1">
      <c r="A43" s="99"/>
      <c r="B43" s="99"/>
      <c r="C43" s="99"/>
      <c r="D43" s="58" t="s">
        <v>56</v>
      </c>
      <c r="E43" s="53">
        <f>SUM(E39:E42)</f>
        <v>0</v>
      </c>
      <c r="F43" s="53">
        <f>SUM(F39:F42)</f>
        <v>0</v>
      </c>
      <c r="Q43" s="10"/>
    </row>
    <row r="44" spans="1:17" ht="15" customHeight="1">
      <c r="A44" s="98" t="s">
        <v>13</v>
      </c>
      <c r="B44" s="98"/>
      <c r="C44" s="98"/>
      <c r="D44" s="48" t="s">
        <v>7</v>
      </c>
      <c r="E44" s="5">
        <f>'table by facility'!D29</f>
        <v>0</v>
      </c>
      <c r="F44" s="5">
        <f>'table by facility'!D35</f>
        <v>0</v>
      </c>
      <c r="Q44" s="10"/>
    </row>
    <row r="45" spans="1:17" ht="15" customHeight="1">
      <c r="A45" s="98"/>
      <c r="B45" s="98"/>
      <c r="C45" s="98"/>
      <c r="D45" s="48" t="s">
        <v>54</v>
      </c>
      <c r="E45" s="5">
        <f>'table by facility'!D30</f>
        <v>0</v>
      </c>
      <c r="F45" s="5">
        <f>'table by facility'!D36</f>
        <v>0</v>
      </c>
      <c r="Q45" s="10"/>
    </row>
    <row r="46" spans="1:17" ht="15" customHeight="1">
      <c r="A46" s="98"/>
      <c r="B46" s="98"/>
      <c r="C46" s="98"/>
      <c r="D46" s="48" t="s">
        <v>58</v>
      </c>
      <c r="E46" s="5">
        <f>'table by facility'!D32</f>
        <v>0</v>
      </c>
      <c r="F46" s="5">
        <f>'table by facility'!D38</f>
        <v>0</v>
      </c>
      <c r="Q46" s="10"/>
    </row>
    <row r="47" spans="1:17" ht="15" customHeight="1">
      <c r="A47" s="98"/>
      <c r="B47" s="98"/>
      <c r="C47" s="98"/>
      <c r="D47" s="48" t="s">
        <v>55</v>
      </c>
      <c r="E47" s="5">
        <f>'table by facility'!D33</f>
        <v>0</v>
      </c>
      <c r="F47" s="5">
        <f>'table by facility'!D39</f>
        <v>0</v>
      </c>
      <c r="Q47" s="10"/>
    </row>
    <row r="48" spans="1:17" ht="15" customHeight="1">
      <c r="A48" s="98"/>
      <c r="B48" s="98"/>
      <c r="C48" s="98"/>
      <c r="D48" s="57" t="s">
        <v>56</v>
      </c>
      <c r="E48" s="52">
        <f>SUM(E44:E47)</f>
        <v>0</v>
      </c>
      <c r="F48" s="52">
        <f>SUM(F44:F47)</f>
        <v>0</v>
      </c>
      <c r="Q48" s="10"/>
    </row>
    <row r="49" spans="1:17" ht="15" customHeight="1">
      <c r="A49" s="100" t="s">
        <v>111</v>
      </c>
      <c r="B49" s="99"/>
      <c r="C49" s="99"/>
      <c r="D49" s="50" t="s">
        <v>7</v>
      </c>
      <c r="E49" s="49">
        <f>'table by facility'!D73</f>
        <v>0</v>
      </c>
      <c r="F49" s="49">
        <f>'table by facility'!D74</f>
        <v>0</v>
      </c>
      <c r="Q49" s="10"/>
    </row>
    <row r="50" spans="1:17" ht="15" customHeight="1">
      <c r="A50" s="99"/>
      <c r="B50" s="99"/>
      <c r="C50" s="99"/>
      <c r="D50" s="58" t="s">
        <v>56</v>
      </c>
      <c r="E50" s="53">
        <f>SUM(E49:E49)</f>
        <v>0</v>
      </c>
      <c r="F50" s="53">
        <f>SUM(F49:F49)</f>
        <v>0</v>
      </c>
      <c r="Q50" s="10"/>
    </row>
    <row r="51" spans="1:17" ht="15" customHeight="1">
      <c r="A51" s="98" t="s">
        <v>112</v>
      </c>
      <c r="B51" s="98"/>
      <c r="C51" s="98"/>
      <c r="D51" s="48" t="s">
        <v>7</v>
      </c>
      <c r="E51" s="5">
        <f>'table by facility'!D81</f>
        <v>0</v>
      </c>
      <c r="F51" s="5">
        <f>'table by facility'!D87</f>
        <v>0</v>
      </c>
      <c r="Q51" s="10"/>
    </row>
    <row r="52" spans="1:17" ht="15" customHeight="1">
      <c r="A52" s="98"/>
      <c r="B52" s="98"/>
      <c r="C52" s="98"/>
      <c r="D52" s="48" t="s">
        <v>54</v>
      </c>
      <c r="E52" s="5">
        <f>'table by facility'!D82</f>
        <v>0</v>
      </c>
      <c r="F52" s="5">
        <f>'table by facility'!D88</f>
        <v>0</v>
      </c>
      <c r="Q52" s="10"/>
    </row>
    <row r="53" spans="1:17" ht="15" customHeight="1">
      <c r="A53" s="98"/>
      <c r="B53" s="98"/>
      <c r="C53" s="98"/>
      <c r="D53" s="48" t="s">
        <v>58</v>
      </c>
      <c r="E53" s="5">
        <f>'table by facility'!D84</f>
        <v>0</v>
      </c>
      <c r="F53" s="5">
        <f>'table by facility'!D90</f>
        <v>0</v>
      </c>
      <c r="Q53" s="10"/>
    </row>
    <row r="54" spans="1:17" ht="15" customHeight="1">
      <c r="A54" s="98"/>
      <c r="B54" s="98"/>
      <c r="C54" s="98"/>
      <c r="D54" s="48" t="s">
        <v>55</v>
      </c>
      <c r="E54" s="5">
        <f>'table by facility'!D85</f>
        <v>0</v>
      </c>
      <c r="F54" s="5">
        <f>'table by facility'!D91</f>
        <v>0</v>
      </c>
      <c r="Q54" s="10"/>
    </row>
    <row r="55" spans="1:17" ht="15" customHeight="1">
      <c r="A55" s="98"/>
      <c r="B55" s="98"/>
      <c r="C55" s="98"/>
      <c r="D55" s="57" t="s">
        <v>56</v>
      </c>
      <c r="E55" s="52">
        <f>SUM(E51:E54)</f>
        <v>0</v>
      </c>
      <c r="F55" s="52">
        <f>SUM(F51:F54)</f>
        <v>0</v>
      </c>
      <c r="Q55" s="10"/>
    </row>
    <row r="56" spans="1:17" ht="15" customHeight="1">
      <c r="A56" s="99" t="s">
        <v>12</v>
      </c>
      <c r="B56" s="99"/>
      <c r="C56" s="99"/>
      <c r="D56" s="50" t="s">
        <v>7</v>
      </c>
      <c r="E56" s="49">
        <f>'table by facility'!D46</f>
        <v>0</v>
      </c>
      <c r="F56" s="49">
        <f>'table by facility'!D52</f>
        <v>0</v>
      </c>
      <c r="Q56" s="10"/>
    </row>
    <row r="57" spans="1:17" ht="15" customHeight="1">
      <c r="A57" s="99"/>
      <c r="B57" s="99"/>
      <c r="C57" s="99"/>
      <c r="D57" s="50" t="s">
        <v>54</v>
      </c>
      <c r="E57" s="49">
        <f>'table by facility'!D47</f>
        <v>0</v>
      </c>
      <c r="F57" s="49">
        <f>'table by facility'!D53</f>
        <v>0</v>
      </c>
      <c r="Q57" s="10"/>
    </row>
    <row r="58" spans="1:17" ht="15" customHeight="1">
      <c r="A58" s="99"/>
      <c r="B58" s="99"/>
      <c r="C58" s="99"/>
      <c r="D58" s="50" t="s">
        <v>58</v>
      </c>
      <c r="E58" s="49">
        <f>'table by facility'!D49</f>
        <v>0</v>
      </c>
      <c r="F58" s="49">
        <f>'table by facility'!D55</f>
        <v>0</v>
      </c>
      <c r="Q58" s="10"/>
    </row>
    <row r="59" spans="1:17" ht="15" customHeight="1">
      <c r="A59" s="99"/>
      <c r="B59" s="99"/>
      <c r="C59" s="99"/>
      <c r="D59" s="50" t="s">
        <v>55</v>
      </c>
      <c r="E59" s="49">
        <f>'table by facility'!D50</f>
        <v>0</v>
      </c>
      <c r="F59" s="49">
        <f>'table by facility'!D56</f>
        <v>0</v>
      </c>
      <c r="Q59" s="10"/>
    </row>
    <row r="60" spans="1:17" ht="15" customHeight="1">
      <c r="A60" s="99"/>
      <c r="B60" s="99"/>
      <c r="C60" s="99"/>
      <c r="D60" s="58" t="s">
        <v>56</v>
      </c>
      <c r="E60" s="53">
        <f>SUM(E56:E59)</f>
        <v>0</v>
      </c>
      <c r="F60" s="53">
        <f>SUM(F56:F59)</f>
        <v>0</v>
      </c>
      <c r="Q60" s="10"/>
    </row>
    <row r="61" spans="1:17" ht="16" customHeight="1">
      <c r="A61" s="101" t="s">
        <v>16</v>
      </c>
      <c r="B61" s="101"/>
      <c r="C61" s="101"/>
      <c r="D61" s="101"/>
      <c r="E61" s="56">
        <f>E38+E43+E48+E50+E55+E60</f>
        <v>0</v>
      </c>
      <c r="F61" s="56">
        <f>F38+F43+F48+F50+F55+F60</f>
        <v>0</v>
      </c>
      <c r="Q61" s="10"/>
    </row>
    <row r="62" spans="1:17">
      <c r="F62" s="3"/>
      <c r="Q62" s="10"/>
    </row>
    <row r="63" spans="1:17" s="2" customFormat="1" ht="31" customHeight="1">
      <c r="Q63"/>
    </row>
    <row r="64" spans="1:17" s="1" customFormat="1">
      <c r="Q64"/>
    </row>
    <row r="65" spans="17:17" s="1" customFormat="1">
      <c r="Q65"/>
    </row>
    <row r="66" spans="17:17" s="1" customFormat="1">
      <c r="Q66"/>
    </row>
    <row r="67" spans="17:17" s="1" customFormat="1">
      <c r="Q67"/>
    </row>
    <row r="68" spans="17:17" s="1" customFormat="1">
      <c r="Q68"/>
    </row>
    <row r="69" spans="17:17" s="1" customFormat="1">
      <c r="Q69"/>
    </row>
    <row r="70" spans="17:17" s="1" customFormat="1">
      <c r="Q70"/>
    </row>
    <row r="71" spans="17:17" s="1" customFormat="1">
      <c r="Q71"/>
    </row>
    <row r="75" spans="17:17" s="2" customFormat="1" ht="16" customHeight="1">
      <c r="Q75"/>
    </row>
    <row r="76" spans="17:17" s="2" customFormat="1" ht="31" customHeight="1">
      <c r="Q76"/>
    </row>
    <row r="77" spans="17:17" s="1" customFormat="1">
      <c r="Q77"/>
    </row>
    <row r="78" spans="17:17" s="1" customFormat="1">
      <c r="Q78"/>
    </row>
    <row r="79" spans="17:17" s="1" customFormat="1">
      <c r="Q79"/>
    </row>
    <row r="80" spans="17:17" s="1" customFormat="1">
      <c r="Q80"/>
    </row>
    <row r="81" spans="17:17" s="1" customFormat="1">
      <c r="Q81"/>
    </row>
    <row r="82" spans="17:17" s="1" customFormat="1">
      <c r="Q82"/>
    </row>
    <row r="83" spans="17:17" s="1" customFormat="1">
      <c r="Q83"/>
    </row>
    <row r="84" spans="17:17" s="1" customFormat="1">
      <c r="Q84"/>
    </row>
    <row r="88" spans="17:17" s="2" customFormat="1" ht="16" customHeight="1">
      <c r="Q88"/>
    </row>
    <row r="89" spans="17:17" s="2" customFormat="1" ht="31" customHeight="1">
      <c r="Q89"/>
    </row>
  </sheetData>
  <sheetProtection password="E19F" sheet="1" objects="1" scenarios="1"/>
  <mergeCells count="32">
    <mergeCell ref="A56:C60"/>
    <mergeCell ref="A61:D61"/>
    <mergeCell ref="A1:F1"/>
    <mergeCell ref="A33:F33"/>
    <mergeCell ref="C8:F8"/>
    <mergeCell ref="A21:F21"/>
    <mergeCell ref="A25:E25"/>
    <mergeCell ref="A22:F22"/>
    <mergeCell ref="C6:F6"/>
    <mergeCell ref="C9:F9"/>
    <mergeCell ref="A5:B5"/>
    <mergeCell ref="A23:F23"/>
    <mergeCell ref="C5:F5"/>
    <mergeCell ref="C7:F7"/>
    <mergeCell ref="A19:B19"/>
    <mergeCell ref="A16:B16"/>
    <mergeCell ref="A37:C38"/>
    <mergeCell ref="A39:C43"/>
    <mergeCell ref="A44:C48"/>
    <mergeCell ref="A51:C55"/>
    <mergeCell ref="A49:C50"/>
    <mergeCell ref="A6:B6"/>
    <mergeCell ref="C12:F12"/>
    <mergeCell ref="A17:B17"/>
    <mergeCell ref="A18:B18"/>
    <mergeCell ref="A36:D36"/>
    <mergeCell ref="A14:B14"/>
    <mergeCell ref="A13:B13"/>
    <mergeCell ref="A9:B9"/>
    <mergeCell ref="A8:B8"/>
    <mergeCell ref="A7:B7"/>
    <mergeCell ref="A15:B15"/>
  </mergeCells>
  <phoneticPr fontId="9" type="noConversion"/>
  <pageMargins left="0.25" right="0.25" top="0.5" bottom="0.25" header="0.5" footer="0.5"/>
  <pageSetup orientation="landscape" horizontalDpi="4294967292" verticalDpi="4294967292"/>
  <headerFooter>
    <oddFooter>&amp;L&amp;"Calibri,Regular"&amp;K000000&amp;G&amp;R&amp;"Calibri,Regular"&amp;8&amp;K000000Revision  date: January 8, 2018</oddFooter>
  </headerFooter>
  <rowBreaks count="1" manualBreakCount="1">
    <brk id="32" max="16383" man="1"/>
  </row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E93"/>
  <sheetViews>
    <sheetView topLeftCell="A67" workbookViewId="0">
      <selection activeCell="E81" sqref="E81:E91"/>
    </sheetView>
  </sheetViews>
  <sheetFormatPr baseColWidth="10" defaultColWidth="11" defaultRowHeight="15" x14ac:dyDescent="0"/>
  <cols>
    <col min="1" max="1" width="7.6640625" customWidth="1"/>
    <col min="2" max="2" width="22.33203125" customWidth="1"/>
    <col min="3" max="3" width="37.6640625" customWidth="1"/>
    <col min="4" max="5" width="10.83203125" customWidth="1"/>
    <col min="6" max="6" width="3.5" customWidth="1"/>
    <col min="7" max="7" width="6.6640625" customWidth="1"/>
  </cols>
  <sheetData>
    <row r="1" spans="1:5" ht="16" thickBot="1">
      <c r="A1" s="118" t="s">
        <v>32</v>
      </c>
      <c r="B1" s="119"/>
      <c r="C1" s="120"/>
      <c r="D1" s="8"/>
      <c r="E1" s="9">
        <f>USER!$C$14</f>
        <v>0</v>
      </c>
    </row>
    <row r="2" spans="1:5" ht="30" thickBot="1">
      <c r="A2" s="11" t="s">
        <v>3</v>
      </c>
      <c r="B2" s="12" t="s">
        <v>4</v>
      </c>
      <c r="C2" s="12" t="s">
        <v>5</v>
      </c>
      <c r="D2" s="12" t="s">
        <v>53</v>
      </c>
      <c r="E2" s="13" t="s">
        <v>50</v>
      </c>
    </row>
    <row r="3" spans="1:5" ht="16" thickBot="1">
      <c r="A3" s="60" t="s">
        <v>6</v>
      </c>
      <c r="B3" s="14" t="s">
        <v>9</v>
      </c>
      <c r="C3" s="15" t="s">
        <v>21</v>
      </c>
      <c r="D3" s="16">
        <f>USER!$C$14/1000000*$E3</f>
        <v>0</v>
      </c>
      <c r="E3" s="17">
        <v>2000</v>
      </c>
    </row>
    <row r="4" spans="1:5">
      <c r="A4" s="60" t="s">
        <v>10</v>
      </c>
      <c r="B4" s="14" t="s">
        <v>11</v>
      </c>
      <c r="C4" s="15" t="s">
        <v>21</v>
      </c>
      <c r="D4" s="16">
        <f>USER!$C$14/1000000*$E4</f>
        <v>0</v>
      </c>
      <c r="E4" s="21">
        <v>2770</v>
      </c>
    </row>
    <row r="5" spans="1:5">
      <c r="A5" s="25" t="s">
        <v>46</v>
      </c>
      <c r="B5" s="26"/>
      <c r="C5" s="26"/>
      <c r="D5" s="26"/>
      <c r="E5" s="27"/>
    </row>
    <row r="6" spans="1:5">
      <c r="A6" s="26"/>
      <c r="B6" s="26"/>
      <c r="C6" s="26"/>
      <c r="D6" s="26"/>
      <c r="E6" s="27"/>
    </row>
    <row r="7" spans="1:5" ht="16" thickBot="1">
      <c r="A7" s="26"/>
      <c r="B7" s="26"/>
      <c r="C7" s="26"/>
      <c r="D7" s="26"/>
      <c r="E7" s="27"/>
    </row>
    <row r="8" spans="1:5" ht="16" thickBot="1">
      <c r="A8" s="118" t="s">
        <v>45</v>
      </c>
      <c r="B8" s="119"/>
      <c r="C8" s="120"/>
      <c r="D8" s="28"/>
      <c r="E8" s="9">
        <f>USER!$C$15</f>
        <v>0</v>
      </c>
    </row>
    <row r="9" spans="1:5" ht="30" thickBot="1">
      <c r="A9" s="11" t="s">
        <v>3</v>
      </c>
      <c r="B9" s="12" t="s">
        <v>4</v>
      </c>
      <c r="C9" s="12" t="s">
        <v>5</v>
      </c>
      <c r="D9" s="12" t="s">
        <v>53</v>
      </c>
      <c r="E9" s="13" t="s">
        <v>50</v>
      </c>
    </row>
    <row r="10" spans="1:5">
      <c r="A10" s="114" t="s">
        <v>6</v>
      </c>
      <c r="B10" s="14" t="s">
        <v>7</v>
      </c>
      <c r="C10" s="15" t="s">
        <v>40</v>
      </c>
      <c r="D10" s="16">
        <f>USER!$C$15/1000000*$E10</f>
        <v>0</v>
      </c>
      <c r="E10" s="17">
        <v>117</v>
      </c>
    </row>
    <row r="11" spans="1:5">
      <c r="A11" s="115"/>
      <c r="B11" s="18" t="s">
        <v>8</v>
      </c>
      <c r="C11" s="19" t="s">
        <v>41</v>
      </c>
      <c r="D11" s="20">
        <f>(USER!$C$15-USER!$D$15-USER!$E$15-USER!$F$15)/1000000*$E11</f>
        <v>0</v>
      </c>
      <c r="E11" s="21">
        <v>430</v>
      </c>
    </row>
    <row r="12" spans="1:5">
      <c r="A12" s="115"/>
      <c r="B12" s="18" t="s">
        <v>52</v>
      </c>
      <c r="C12" s="87" t="s">
        <v>100</v>
      </c>
      <c r="D12" s="20">
        <f>-USER!$D$15/1000000*E12</f>
        <v>0</v>
      </c>
      <c r="E12" s="21">
        <v>0</v>
      </c>
    </row>
    <row r="13" spans="1:5">
      <c r="A13" s="116"/>
      <c r="B13" s="18"/>
      <c r="C13" s="87" t="s">
        <v>101</v>
      </c>
      <c r="D13" s="20">
        <f>USER!$E$15/1000000*('table by facility'!E13)</f>
        <v>0</v>
      </c>
      <c r="E13" s="55">
        <f>VLOOKUP(USER!$F$25,Drying!$K$34:$N$37,3,FALSE)</f>
        <v>161.56081057268725</v>
      </c>
    </row>
    <row r="14" spans="1:5" ht="28">
      <c r="A14" s="116"/>
      <c r="B14" s="18" t="s">
        <v>20</v>
      </c>
      <c r="C14" s="54" t="s">
        <v>51</v>
      </c>
      <c r="D14" s="20">
        <f>USER!$F$15/1000000*$E14</f>
        <v>0</v>
      </c>
      <c r="E14" s="55">
        <v>573</v>
      </c>
    </row>
    <row r="15" spans="1:5" ht="16" thickBot="1">
      <c r="A15" s="117"/>
      <c r="B15" s="22" t="s">
        <v>9</v>
      </c>
      <c r="C15" s="22" t="s">
        <v>21</v>
      </c>
      <c r="D15" s="23">
        <f>SUM(D10:D14)</f>
        <v>0</v>
      </c>
      <c r="E15" s="13" t="s">
        <v>17</v>
      </c>
    </row>
    <row r="16" spans="1:5">
      <c r="A16" s="114" t="s">
        <v>10</v>
      </c>
      <c r="B16" s="14" t="s">
        <v>7</v>
      </c>
      <c r="C16" s="15" t="s">
        <v>42</v>
      </c>
      <c r="D16" s="16">
        <f>USER!$C$15/1000000*$E16</f>
        <v>0</v>
      </c>
      <c r="E16" s="21">
        <v>416</v>
      </c>
    </row>
    <row r="17" spans="1:5">
      <c r="A17" s="115"/>
      <c r="B17" s="18" t="s">
        <v>8</v>
      </c>
      <c r="C17" s="19" t="s">
        <v>43</v>
      </c>
      <c r="D17" s="20">
        <f>(USER!$C$15-USER!$D$15-USER!$E$15-USER!$F$15)/1000000*$E17</f>
        <v>0</v>
      </c>
      <c r="E17" s="21">
        <v>495</v>
      </c>
    </row>
    <row r="18" spans="1:5">
      <c r="A18" s="115"/>
      <c r="B18" s="18" t="s">
        <v>52</v>
      </c>
      <c r="C18" s="87" t="s">
        <v>100</v>
      </c>
      <c r="D18" s="20">
        <f>-USER!$D$15/1000000*E18</f>
        <v>0</v>
      </c>
      <c r="E18" s="86">
        <v>0</v>
      </c>
    </row>
    <row r="19" spans="1:5">
      <c r="A19" s="116"/>
      <c r="B19" s="18"/>
      <c r="C19" s="87" t="s">
        <v>101</v>
      </c>
      <c r="D19" s="84">
        <f>USER!$E$15/1000000*('table by facility'!E19)</f>
        <v>0</v>
      </c>
      <c r="E19" s="85">
        <f>VLOOKUP(USER!$F$25,Drying!$K$34:$N$37,4,FALSE)</f>
        <v>236.89779232221525</v>
      </c>
    </row>
    <row r="20" spans="1:5" ht="28">
      <c r="A20" s="116"/>
      <c r="B20" s="18" t="s">
        <v>20</v>
      </c>
      <c r="C20" s="54" t="s">
        <v>51</v>
      </c>
      <c r="D20" s="20">
        <f>USER!$F$15/1000000*$E20</f>
        <v>0</v>
      </c>
      <c r="E20" s="55">
        <v>1168</v>
      </c>
    </row>
    <row r="21" spans="1:5" ht="16" thickBot="1">
      <c r="A21" s="117"/>
      <c r="B21" s="22" t="s">
        <v>11</v>
      </c>
      <c r="C21" s="22" t="s">
        <v>21</v>
      </c>
      <c r="D21" s="23">
        <f>SUM(D16:D20)</f>
        <v>0</v>
      </c>
      <c r="E21" s="24"/>
    </row>
    <row r="22" spans="1:5">
      <c r="A22" s="25" t="s">
        <v>46</v>
      </c>
      <c r="B22" s="26"/>
      <c r="C22" s="26"/>
      <c r="D22" s="26"/>
      <c r="E22" s="27"/>
    </row>
    <row r="23" spans="1:5">
      <c r="A23" s="26"/>
      <c r="B23" s="26"/>
      <c r="C23" s="26"/>
      <c r="D23" s="26"/>
      <c r="E23" s="27"/>
    </row>
    <row r="24" spans="1:5">
      <c r="A24" s="26"/>
      <c r="B24" s="26"/>
      <c r="C24" s="26"/>
      <c r="D24" s="26"/>
      <c r="E24" s="27"/>
    </row>
    <row r="25" spans="1:5">
      <c r="A25" s="26"/>
      <c r="B25" s="26"/>
      <c r="C25" s="26"/>
      <c r="D25" s="26"/>
      <c r="E25" s="27"/>
    </row>
    <row r="26" spans="1:5" ht="16" thickBot="1">
      <c r="A26" s="26"/>
      <c r="B26" s="26"/>
      <c r="C26" s="26"/>
      <c r="D26" s="26"/>
      <c r="E26" s="27"/>
    </row>
    <row r="27" spans="1:5" ht="16" thickBot="1">
      <c r="A27" s="118" t="s">
        <v>18</v>
      </c>
      <c r="B27" s="119"/>
      <c r="C27" s="120"/>
      <c r="D27" s="28"/>
      <c r="E27" s="9">
        <f>USER!$C$16</f>
        <v>0</v>
      </c>
    </row>
    <row r="28" spans="1:5" ht="30" thickBot="1">
      <c r="A28" s="11" t="s">
        <v>3</v>
      </c>
      <c r="B28" s="12" t="s">
        <v>4</v>
      </c>
      <c r="C28" s="12" t="s">
        <v>5</v>
      </c>
      <c r="D28" s="12" t="s">
        <v>53</v>
      </c>
      <c r="E28" s="13" t="s">
        <v>50</v>
      </c>
    </row>
    <row r="29" spans="1:5">
      <c r="A29" s="114" t="s">
        <v>6</v>
      </c>
      <c r="B29" s="14" t="s">
        <v>7</v>
      </c>
      <c r="C29" s="15" t="s">
        <v>44</v>
      </c>
      <c r="D29" s="16">
        <f>USER!$C$16/1000000*$E29</f>
        <v>0</v>
      </c>
      <c r="E29" s="30">
        <v>170</v>
      </c>
    </row>
    <row r="30" spans="1:5">
      <c r="A30" s="115"/>
      <c r="B30" s="18" t="s">
        <v>8</v>
      </c>
      <c r="C30" s="19" t="s">
        <v>33</v>
      </c>
      <c r="D30" s="20">
        <f>(USER!$C$16-USER!$D$16-USER!$E$16-USER!$F$16)/1000000*$E30</f>
        <v>0</v>
      </c>
      <c r="E30" s="31">
        <v>375</v>
      </c>
    </row>
    <row r="31" spans="1:5">
      <c r="A31" s="115"/>
      <c r="B31" s="18" t="s">
        <v>52</v>
      </c>
      <c r="C31" s="87" t="s">
        <v>100</v>
      </c>
      <c r="D31" s="20">
        <f>-USER!$D$16/1000000*$E31</f>
        <v>0</v>
      </c>
      <c r="E31" s="86">
        <v>0</v>
      </c>
    </row>
    <row r="32" spans="1:5">
      <c r="A32" s="116"/>
      <c r="B32" s="18"/>
      <c r="C32" s="87" t="s">
        <v>101</v>
      </c>
      <c r="D32" s="84">
        <f>USER!$E$16/1000000*('table by facility'!E32)</f>
        <v>0</v>
      </c>
      <c r="E32" s="85">
        <f>VLOOKUP(USER!$F$25,Drying!$K$34:$N$37,3,FALSE)</f>
        <v>161.56081057268725</v>
      </c>
    </row>
    <row r="33" spans="1:5" ht="28">
      <c r="A33" s="116"/>
      <c r="B33" s="18" t="s">
        <v>20</v>
      </c>
      <c r="C33" s="54" t="s">
        <v>51</v>
      </c>
      <c r="D33" s="20">
        <f>USER!$F$16/1000000*$E33</f>
        <v>0</v>
      </c>
      <c r="E33" s="55">
        <v>573</v>
      </c>
    </row>
    <row r="34" spans="1:5" ht="16" thickBot="1">
      <c r="A34" s="117"/>
      <c r="B34" s="22" t="s">
        <v>9</v>
      </c>
      <c r="C34" s="22" t="s">
        <v>21</v>
      </c>
      <c r="D34" s="23">
        <f>SUM(D29:D33)</f>
        <v>0</v>
      </c>
      <c r="E34" s="13" t="s">
        <v>17</v>
      </c>
    </row>
    <row r="35" spans="1:5">
      <c r="A35" s="114" t="s">
        <v>10</v>
      </c>
      <c r="B35" s="14" t="s">
        <v>7</v>
      </c>
      <c r="C35" s="15" t="s">
        <v>34</v>
      </c>
      <c r="D35" s="16">
        <f>USER!$C$16/1000000*$E35</f>
        <v>0</v>
      </c>
      <c r="E35" s="31">
        <v>434</v>
      </c>
    </row>
    <row r="36" spans="1:5">
      <c r="A36" s="115"/>
      <c r="B36" s="18" t="s">
        <v>8</v>
      </c>
      <c r="C36" s="19" t="s">
        <v>35</v>
      </c>
      <c r="D36" s="20">
        <f>(USER!$C$16-USER!$D$16-USER!$E$16-USER!$F$16)/1000000*$E36</f>
        <v>0</v>
      </c>
      <c r="E36" s="21">
        <v>418</v>
      </c>
    </row>
    <row r="37" spans="1:5">
      <c r="A37" s="115"/>
      <c r="B37" s="18" t="s">
        <v>52</v>
      </c>
      <c r="C37" s="87" t="s">
        <v>100</v>
      </c>
      <c r="D37" s="20">
        <f>-USER!$D$16/1000000*$E37</f>
        <v>0</v>
      </c>
      <c r="E37" s="86">
        <v>0</v>
      </c>
    </row>
    <row r="38" spans="1:5">
      <c r="A38" s="116"/>
      <c r="B38" s="18"/>
      <c r="C38" s="87" t="s">
        <v>101</v>
      </c>
      <c r="D38" s="84">
        <f>USER!$E$16/1000000*('table by facility'!E38)</f>
        <v>0</v>
      </c>
      <c r="E38" s="85">
        <f>VLOOKUP(USER!$F$25,Drying!$K$34:$N$37,4,FALSE)</f>
        <v>236.89779232221525</v>
      </c>
    </row>
    <row r="39" spans="1:5" ht="28">
      <c r="A39" s="116"/>
      <c r="B39" s="18" t="s">
        <v>20</v>
      </c>
      <c r="C39" s="54" t="s">
        <v>51</v>
      </c>
      <c r="D39" s="20">
        <f>USER!$F$16/1000000*$E39</f>
        <v>0</v>
      </c>
      <c r="E39" s="55">
        <v>1168</v>
      </c>
    </row>
    <row r="40" spans="1:5" ht="16" thickBot="1">
      <c r="A40" s="117"/>
      <c r="B40" s="22" t="s">
        <v>11</v>
      </c>
      <c r="C40" s="22" t="s">
        <v>21</v>
      </c>
      <c r="D40" s="23">
        <f>SUM(D35:D39)</f>
        <v>0</v>
      </c>
      <c r="E40" s="24"/>
    </row>
    <row r="41" spans="1:5">
      <c r="A41" s="25" t="s">
        <v>46</v>
      </c>
      <c r="B41" s="26"/>
      <c r="C41" s="26"/>
      <c r="D41" s="26"/>
      <c r="E41" s="27"/>
    </row>
    <row r="42" spans="1:5">
      <c r="A42" s="26"/>
      <c r="B42" s="26"/>
      <c r="C42" s="26"/>
      <c r="D42" s="26"/>
      <c r="E42" s="27"/>
    </row>
    <row r="43" spans="1:5" ht="16" thickBot="1">
      <c r="A43" s="26"/>
      <c r="B43" s="26"/>
      <c r="C43" s="26"/>
      <c r="D43" s="26"/>
      <c r="E43" s="27"/>
    </row>
    <row r="44" spans="1:5" ht="16" thickBot="1">
      <c r="A44" s="118" t="s">
        <v>19</v>
      </c>
      <c r="B44" s="119"/>
      <c r="C44" s="120"/>
      <c r="D44" s="28"/>
      <c r="E44" s="9">
        <f>USER!$C$19</f>
        <v>0</v>
      </c>
    </row>
    <row r="45" spans="1:5" ht="30" thickBot="1">
      <c r="A45" s="11" t="s">
        <v>3</v>
      </c>
      <c r="B45" s="12" t="s">
        <v>4</v>
      </c>
      <c r="C45" s="12" t="s">
        <v>5</v>
      </c>
      <c r="D45" s="12" t="s">
        <v>53</v>
      </c>
      <c r="E45" s="13" t="s">
        <v>50</v>
      </c>
    </row>
    <row r="46" spans="1:5">
      <c r="A46" s="114" t="s">
        <v>6</v>
      </c>
      <c r="B46" s="14" t="s">
        <v>7</v>
      </c>
      <c r="C46" s="15" t="s">
        <v>36</v>
      </c>
      <c r="D46" s="16">
        <f>USER!$C$19/1000000*$E46</f>
        <v>0</v>
      </c>
      <c r="E46" s="30">
        <v>79</v>
      </c>
    </row>
    <row r="47" spans="1:5">
      <c r="A47" s="115"/>
      <c r="B47" s="18" t="s">
        <v>8</v>
      </c>
      <c r="C47" s="19" t="s">
        <v>37</v>
      </c>
      <c r="D47" s="20">
        <f>(USER!$C$19-USER!$D$19-USER!$E$19-USER!$F$19)/1000000*$E47</f>
        <v>0</v>
      </c>
      <c r="E47" s="21">
        <v>225</v>
      </c>
    </row>
    <row r="48" spans="1:5">
      <c r="A48" s="115"/>
      <c r="B48" s="18" t="s">
        <v>52</v>
      </c>
      <c r="C48" s="87" t="s">
        <v>100</v>
      </c>
      <c r="D48" s="20">
        <f>-USER!$D$19/1000000*$E48</f>
        <v>0</v>
      </c>
      <c r="E48" s="86">
        <v>0</v>
      </c>
    </row>
    <row r="49" spans="1:5">
      <c r="A49" s="116"/>
      <c r="B49" s="18"/>
      <c r="C49" s="87" t="s">
        <v>101</v>
      </c>
      <c r="D49" s="84">
        <f>USER!$E$19/1000000*('table by facility'!E49)</f>
        <v>0</v>
      </c>
      <c r="E49" s="85">
        <f>VLOOKUP(USER!$F$25,Drying!$K$34:$N$37,3,FALSE)</f>
        <v>161.56081057268725</v>
      </c>
    </row>
    <row r="50" spans="1:5" ht="28">
      <c r="A50" s="116"/>
      <c r="B50" s="18" t="s">
        <v>20</v>
      </c>
      <c r="C50" s="54" t="s">
        <v>51</v>
      </c>
      <c r="D50" s="20">
        <f>USER!$F$19/1000000*$E50</f>
        <v>0</v>
      </c>
      <c r="E50" s="55">
        <v>573</v>
      </c>
    </row>
    <row r="51" spans="1:5" ht="16" thickBot="1">
      <c r="A51" s="117"/>
      <c r="B51" s="22" t="s">
        <v>9</v>
      </c>
      <c r="C51" s="22" t="s">
        <v>21</v>
      </c>
      <c r="D51" s="23">
        <f>SUM(D46:D50)</f>
        <v>0</v>
      </c>
      <c r="E51" s="13" t="s">
        <v>17</v>
      </c>
    </row>
    <row r="52" spans="1:5">
      <c r="A52" s="114" t="s">
        <v>10</v>
      </c>
      <c r="B52" s="14" t="s">
        <v>7</v>
      </c>
      <c r="C52" s="15" t="s">
        <v>38</v>
      </c>
      <c r="D52" s="16">
        <f>USER!$C$19/1000000*$E52</f>
        <v>0</v>
      </c>
      <c r="E52" s="31">
        <v>267</v>
      </c>
    </row>
    <row r="53" spans="1:5">
      <c r="A53" s="115"/>
      <c r="B53" s="18" t="s">
        <v>8</v>
      </c>
      <c r="C53" s="19" t="s">
        <v>39</v>
      </c>
      <c r="D53" s="20">
        <f>(USER!$C$19-USER!$D$19-USER!$E$19-USER!$F$19)/1000000*$E53</f>
        <v>0</v>
      </c>
      <c r="E53" s="21">
        <v>260</v>
      </c>
    </row>
    <row r="54" spans="1:5">
      <c r="A54" s="115"/>
      <c r="B54" s="18" t="s">
        <v>52</v>
      </c>
      <c r="C54" s="87" t="s">
        <v>100</v>
      </c>
      <c r="D54" s="20">
        <f>-USER!$D$19/1000000*$E54</f>
        <v>0</v>
      </c>
      <c r="E54" s="86">
        <v>0</v>
      </c>
    </row>
    <row r="55" spans="1:5">
      <c r="A55" s="116"/>
      <c r="B55" s="18"/>
      <c r="C55" s="87" t="s">
        <v>101</v>
      </c>
      <c r="D55" s="84">
        <f>USER!$E$19/1000000*('table by facility'!E55)</f>
        <v>0</v>
      </c>
      <c r="E55" s="85">
        <f>VLOOKUP(USER!$F$25,Drying!$K$34:$N$37,4,FALSE)</f>
        <v>236.89779232221525</v>
      </c>
    </row>
    <row r="56" spans="1:5" ht="28">
      <c r="A56" s="116"/>
      <c r="B56" s="18" t="s">
        <v>20</v>
      </c>
      <c r="C56" s="54" t="s">
        <v>51</v>
      </c>
      <c r="D56" s="20">
        <f>USER!$F$19/1000000*$E56</f>
        <v>0</v>
      </c>
      <c r="E56" s="55">
        <v>1168</v>
      </c>
    </row>
    <row r="57" spans="1:5" ht="16" thickBot="1">
      <c r="A57" s="117"/>
      <c r="B57" s="22" t="s">
        <v>11</v>
      </c>
      <c r="C57" s="22" t="s">
        <v>21</v>
      </c>
      <c r="D57" s="23">
        <f>SUM(D52:D56)</f>
        <v>0</v>
      </c>
      <c r="E57" s="24"/>
    </row>
    <row r="58" spans="1:5">
      <c r="A58" s="25" t="s">
        <v>46</v>
      </c>
      <c r="B58" s="26"/>
      <c r="C58" s="26"/>
      <c r="D58" s="26"/>
      <c r="E58" s="27"/>
    </row>
    <row r="59" spans="1:5">
      <c r="A59" s="26"/>
      <c r="B59" s="26"/>
      <c r="C59" s="26"/>
      <c r="D59" s="26"/>
      <c r="E59" s="27"/>
    </row>
    <row r="60" spans="1:5">
      <c r="A60" s="26"/>
      <c r="B60" s="26"/>
      <c r="C60" s="26"/>
      <c r="D60" s="26"/>
      <c r="E60" s="27"/>
    </row>
    <row r="61" spans="1:5">
      <c r="A61" s="26"/>
      <c r="B61" s="26"/>
      <c r="C61" s="26"/>
      <c r="D61" s="26"/>
      <c r="E61" s="27"/>
    </row>
    <row r="62" spans="1:5" ht="16" thickBot="1">
      <c r="A62" s="26"/>
      <c r="B62" s="26"/>
      <c r="C62" s="26"/>
      <c r="D62" s="26"/>
      <c r="E62" s="27"/>
    </row>
    <row r="63" spans="1:5" ht="16" thickBot="1">
      <c r="A63" s="121" t="s">
        <v>24</v>
      </c>
      <c r="B63" s="122"/>
      <c r="C63" s="123"/>
      <c r="D63" s="28"/>
      <c r="E63" s="32">
        <f>SUM(USER!F14:F19)</f>
        <v>0</v>
      </c>
    </row>
    <row r="64" spans="1:5" ht="30" thickBot="1">
      <c r="A64" s="11" t="s">
        <v>3</v>
      </c>
      <c r="B64" s="12" t="s">
        <v>4</v>
      </c>
      <c r="C64" s="12" t="s">
        <v>5</v>
      </c>
      <c r="D64" s="33" t="s">
        <v>53</v>
      </c>
      <c r="E64" s="34" t="s">
        <v>50</v>
      </c>
    </row>
    <row r="65" spans="1:5">
      <c r="A65" s="35" t="s">
        <v>6</v>
      </c>
      <c r="B65" s="36" t="s">
        <v>14</v>
      </c>
      <c r="C65" s="37" t="s">
        <v>22</v>
      </c>
      <c r="D65" s="29">
        <f>E63/1000000*$E65</f>
        <v>0</v>
      </c>
      <c r="E65" s="38">
        <v>573</v>
      </c>
    </row>
    <row r="66" spans="1:5" ht="16" thickBot="1">
      <c r="A66" s="39" t="s">
        <v>10</v>
      </c>
      <c r="B66" s="40" t="s">
        <v>14</v>
      </c>
      <c r="C66" s="41" t="s">
        <v>23</v>
      </c>
      <c r="D66" s="42">
        <f>E63/1000000*$E66</f>
        <v>0</v>
      </c>
      <c r="E66" s="43">
        <v>1168</v>
      </c>
    </row>
    <row r="67" spans="1:5">
      <c r="A67" s="25" t="s">
        <v>46</v>
      </c>
      <c r="B67" s="26"/>
      <c r="C67" s="26"/>
      <c r="D67" s="26"/>
      <c r="E67" s="27"/>
    </row>
    <row r="68" spans="1:5">
      <c r="A68" s="26"/>
      <c r="B68" s="26"/>
      <c r="C68" s="26"/>
      <c r="D68" s="26"/>
      <c r="E68" s="27"/>
    </row>
    <row r="69" spans="1:5">
      <c r="A69" s="26"/>
      <c r="B69" s="26"/>
      <c r="C69" s="26"/>
      <c r="D69" s="26"/>
      <c r="E69" s="27"/>
    </row>
    <row r="70" spans="1:5" ht="16" thickBot="1">
      <c r="A70" s="26"/>
      <c r="B70" s="26"/>
      <c r="C70" s="26"/>
      <c r="D70" s="26"/>
      <c r="E70" s="27"/>
    </row>
    <row r="71" spans="1:5" ht="16" thickBot="1">
      <c r="A71" s="111" t="s">
        <v>110</v>
      </c>
      <c r="B71" s="112"/>
      <c r="C71" s="113"/>
      <c r="D71" s="8"/>
      <c r="E71" s="9">
        <f>USER!$C$17</f>
        <v>0</v>
      </c>
    </row>
    <row r="72" spans="1:5" ht="30" thickBot="1">
      <c r="A72" s="11" t="s">
        <v>3</v>
      </c>
      <c r="B72" s="12" t="s">
        <v>4</v>
      </c>
      <c r="C72" s="12" t="s">
        <v>5</v>
      </c>
      <c r="D72" s="12" t="s">
        <v>53</v>
      </c>
      <c r="E72" s="13" t="s">
        <v>50</v>
      </c>
    </row>
    <row r="73" spans="1:5" ht="16" thickBot="1">
      <c r="A73" s="90" t="s">
        <v>6</v>
      </c>
      <c r="B73" s="14" t="s">
        <v>9</v>
      </c>
      <c r="C73" s="15" t="s">
        <v>21</v>
      </c>
      <c r="D73" s="16">
        <f>USER!$C$17/1000000*$E73</f>
        <v>0</v>
      </c>
      <c r="E73" s="17">
        <v>2000</v>
      </c>
    </row>
    <row r="74" spans="1:5">
      <c r="A74" s="90" t="s">
        <v>10</v>
      </c>
      <c r="B74" s="14" t="s">
        <v>11</v>
      </c>
      <c r="C74" s="15" t="s">
        <v>21</v>
      </c>
      <c r="D74" s="16">
        <f>USER!$C$17/1000000*$E74</f>
        <v>0</v>
      </c>
      <c r="E74" s="21">
        <v>2770</v>
      </c>
    </row>
    <row r="75" spans="1:5">
      <c r="A75" s="25" t="s">
        <v>46</v>
      </c>
      <c r="B75" s="26"/>
      <c r="C75" s="26"/>
      <c r="D75" s="26"/>
      <c r="E75" s="27"/>
    </row>
    <row r="76" spans="1:5">
      <c r="A76" s="26"/>
      <c r="B76" s="26"/>
      <c r="C76" s="26"/>
      <c r="D76" s="26"/>
      <c r="E76" s="27"/>
    </row>
    <row r="78" spans="1:5" ht="16" thickBot="1"/>
    <row r="79" spans="1:5" ht="16" customHeight="1" thickBot="1">
      <c r="A79" s="111" t="s">
        <v>18</v>
      </c>
      <c r="B79" s="112"/>
      <c r="C79" s="113"/>
      <c r="D79" s="28"/>
      <c r="E79" s="9">
        <f>USER!$C$18</f>
        <v>0</v>
      </c>
    </row>
    <row r="80" spans="1:5" ht="30" thickBot="1">
      <c r="A80" s="11" t="s">
        <v>3</v>
      </c>
      <c r="B80" s="12" t="s">
        <v>4</v>
      </c>
      <c r="C80" s="12" t="s">
        <v>5</v>
      </c>
      <c r="D80" s="12" t="s">
        <v>53</v>
      </c>
      <c r="E80" s="13" t="s">
        <v>50</v>
      </c>
    </row>
    <row r="81" spans="1:5">
      <c r="A81" s="114" t="s">
        <v>6</v>
      </c>
      <c r="B81" s="14" t="s">
        <v>7</v>
      </c>
      <c r="C81" s="15" t="s">
        <v>44</v>
      </c>
      <c r="D81" s="16">
        <f>USER!$C$18/1000000*$E81</f>
        <v>0</v>
      </c>
      <c r="E81" s="17">
        <v>117</v>
      </c>
    </row>
    <row r="82" spans="1:5">
      <c r="A82" s="115"/>
      <c r="B82" s="18" t="s">
        <v>8</v>
      </c>
      <c r="C82" s="19" t="s">
        <v>33</v>
      </c>
      <c r="D82" s="20">
        <f>(USER!$C$18-USER!$D$18-USER!$E$18-USER!$F$18)/1000000*$E82</f>
        <v>0</v>
      </c>
      <c r="E82" s="21">
        <v>430</v>
      </c>
    </row>
    <row r="83" spans="1:5">
      <c r="A83" s="115"/>
      <c r="B83" s="18" t="s">
        <v>52</v>
      </c>
      <c r="C83" s="87" t="s">
        <v>100</v>
      </c>
      <c r="D83" s="20">
        <f>-USER!$D$18/1000000*$E83</f>
        <v>0</v>
      </c>
      <c r="E83" s="21">
        <v>0</v>
      </c>
    </row>
    <row r="84" spans="1:5">
      <c r="A84" s="116"/>
      <c r="B84" s="18"/>
      <c r="C84" s="87" t="s">
        <v>101</v>
      </c>
      <c r="D84" s="84">
        <f>USER!$E$18/1000000*('table by facility'!E84)</f>
        <v>0</v>
      </c>
      <c r="E84" s="55">
        <f>VLOOKUP(USER!$F$25,Drying!$K$34:$N$37,3,FALSE)</f>
        <v>161.56081057268725</v>
      </c>
    </row>
    <row r="85" spans="1:5" ht="28">
      <c r="A85" s="116"/>
      <c r="B85" s="18" t="s">
        <v>20</v>
      </c>
      <c r="C85" s="54" t="s">
        <v>51</v>
      </c>
      <c r="D85" s="20">
        <f>USER!$F$18/1000000*$E85</f>
        <v>0</v>
      </c>
      <c r="E85" s="55">
        <v>573</v>
      </c>
    </row>
    <row r="86" spans="1:5" ht="16" thickBot="1">
      <c r="A86" s="117"/>
      <c r="B86" s="22" t="s">
        <v>9</v>
      </c>
      <c r="C86" s="22" t="s">
        <v>21</v>
      </c>
      <c r="D86" s="23">
        <f>SUM(D81:D85)</f>
        <v>0</v>
      </c>
      <c r="E86" s="13" t="s">
        <v>17</v>
      </c>
    </row>
    <row r="87" spans="1:5">
      <c r="A87" s="114" t="s">
        <v>10</v>
      </c>
      <c r="B87" s="14" t="s">
        <v>7</v>
      </c>
      <c r="C87" s="15" t="s">
        <v>34</v>
      </c>
      <c r="D87" s="16">
        <f>USER!$C$18/1000000*$E87</f>
        <v>0</v>
      </c>
      <c r="E87" s="21">
        <v>416</v>
      </c>
    </row>
    <row r="88" spans="1:5">
      <c r="A88" s="115"/>
      <c r="B88" s="18" t="s">
        <v>8</v>
      </c>
      <c r="C88" s="19" t="s">
        <v>35</v>
      </c>
      <c r="D88" s="20">
        <f>(USER!$C$18-USER!$D$18-USER!$E$18-USER!$F$18)/1000000*$E88</f>
        <v>0</v>
      </c>
      <c r="E88" s="21">
        <v>495</v>
      </c>
    </row>
    <row r="89" spans="1:5">
      <c r="A89" s="115"/>
      <c r="B89" s="18" t="s">
        <v>52</v>
      </c>
      <c r="C89" s="87" t="s">
        <v>100</v>
      </c>
      <c r="D89" s="20">
        <f>-USER!$D$18/1000000*$E89</f>
        <v>0</v>
      </c>
      <c r="E89" s="86">
        <v>0</v>
      </c>
    </row>
    <row r="90" spans="1:5">
      <c r="A90" s="116"/>
      <c r="B90" s="18"/>
      <c r="C90" s="87" t="s">
        <v>101</v>
      </c>
      <c r="D90" s="84">
        <f>USER!$E$18/1000000*('table by facility'!E90)</f>
        <v>0</v>
      </c>
      <c r="E90" s="85">
        <f>VLOOKUP(USER!$F$25,Drying!$K$34:$N$37,4,FALSE)</f>
        <v>236.89779232221525</v>
      </c>
    </row>
    <row r="91" spans="1:5" ht="28">
      <c r="A91" s="116"/>
      <c r="B91" s="18" t="s">
        <v>20</v>
      </c>
      <c r="C91" s="54" t="s">
        <v>51</v>
      </c>
      <c r="D91" s="20">
        <f>USER!$F$18/1000000*$E91</f>
        <v>0</v>
      </c>
      <c r="E91" s="55">
        <v>1168</v>
      </c>
    </row>
    <row r="92" spans="1:5" ht="16" thickBot="1">
      <c r="A92" s="117"/>
      <c r="B92" s="22" t="s">
        <v>11</v>
      </c>
      <c r="C92" s="22" t="s">
        <v>21</v>
      </c>
      <c r="D92" s="23">
        <f>SUM(D87:D91)</f>
        <v>0</v>
      </c>
      <c r="E92" s="24"/>
    </row>
    <row r="93" spans="1:5">
      <c r="A93" s="25" t="s">
        <v>46</v>
      </c>
      <c r="B93" s="26"/>
      <c r="C93" s="26"/>
      <c r="D93" s="26"/>
      <c r="E93" s="27"/>
    </row>
  </sheetData>
  <mergeCells count="15">
    <mergeCell ref="A1:C1"/>
    <mergeCell ref="A63:C63"/>
    <mergeCell ref="A29:A34"/>
    <mergeCell ref="A35:A40"/>
    <mergeCell ref="A44:C44"/>
    <mergeCell ref="A46:A51"/>
    <mergeCell ref="A52:A57"/>
    <mergeCell ref="A8:C8"/>
    <mergeCell ref="A10:A15"/>
    <mergeCell ref="A16:A21"/>
    <mergeCell ref="A71:C71"/>
    <mergeCell ref="A79:C79"/>
    <mergeCell ref="A81:A86"/>
    <mergeCell ref="A87:A92"/>
    <mergeCell ref="A27:C27"/>
  </mergeCells>
  <phoneticPr fontId="9" type="noConversion"/>
  <pageMargins left="0.25" right="0.25" top="0.75" bottom="0.5" header="0.5" footer="0.5"/>
  <pageSetup orientation="portrait" horizontalDpi="4294967292" verticalDpi="4294967292"/>
  <headerFooter>
    <oddHeader>&amp;C&amp;"Calibri,Bold Italic"&amp;14&amp;K000000Calculation Spreadsheet for Ammonia Emission from Layer Farm</oddHeader>
    <oddFooter>&amp;L&amp;"Calibri,Regular"&amp;K000000&amp;G&amp;R&amp;"Calibri,Regular"&amp;8&amp;K000000Revision  date: May 27, 2017</oddFooter>
  </headerFooter>
  <rowBreaks count="1" manualBreakCount="1">
    <brk id="26" max="16383" man="1"/>
  </row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R43"/>
  <sheetViews>
    <sheetView workbookViewId="0">
      <selection activeCell="G9" sqref="G9"/>
    </sheetView>
  </sheetViews>
  <sheetFormatPr baseColWidth="10" defaultColWidth="8.83203125" defaultRowHeight="15" x14ac:dyDescent="0"/>
  <cols>
    <col min="1" max="1" width="27.5" customWidth="1"/>
    <col min="2" max="2" width="13.33203125" customWidth="1"/>
    <col min="3" max="3" width="2.6640625" customWidth="1"/>
    <col min="7" max="7" width="7" customWidth="1"/>
    <col min="8" max="10" width="10" customWidth="1"/>
    <col min="11" max="11" width="14.83203125" customWidth="1"/>
    <col min="12" max="12" width="9.5" bestFit="1" customWidth="1"/>
  </cols>
  <sheetData>
    <row r="1" spans="1:18">
      <c r="A1" t="s">
        <v>59</v>
      </c>
    </row>
    <row r="2" spans="1:18">
      <c r="A2" t="s">
        <v>60</v>
      </c>
      <c r="B2" t="s">
        <v>61</v>
      </c>
      <c r="D2" t="s">
        <v>62</v>
      </c>
      <c r="H2" t="s">
        <v>63</v>
      </c>
    </row>
    <row r="3" spans="1:18">
      <c r="A3" t="s">
        <v>64</v>
      </c>
      <c r="B3" t="s">
        <v>65</v>
      </c>
      <c r="D3" t="s">
        <v>66</v>
      </c>
      <c r="E3" t="s">
        <v>67</v>
      </c>
      <c r="F3" t="s">
        <v>68</v>
      </c>
      <c r="H3" t="s">
        <v>69</v>
      </c>
      <c r="I3" t="s">
        <v>67</v>
      </c>
      <c r="J3" t="s">
        <v>68</v>
      </c>
      <c r="O3" s="62"/>
    </row>
    <row r="4" spans="1:18">
      <c r="A4">
        <v>40</v>
      </c>
      <c r="B4">
        <v>1</v>
      </c>
      <c r="D4">
        <v>49350</v>
      </c>
      <c r="E4">
        <v>36370</v>
      </c>
      <c r="F4">
        <v>12980</v>
      </c>
      <c r="H4">
        <v>19.73</v>
      </c>
      <c r="I4">
        <v>12.31</v>
      </c>
      <c r="J4" s="63">
        <v>7.42</v>
      </c>
      <c r="L4" s="64"/>
      <c r="M4" s="64"/>
      <c r="N4" s="64"/>
      <c r="O4" s="62"/>
    </row>
    <row r="5" spans="1:18">
      <c r="B5">
        <v>2</v>
      </c>
      <c r="D5">
        <v>46340</v>
      </c>
      <c r="E5">
        <v>33450</v>
      </c>
      <c r="F5">
        <v>12890</v>
      </c>
      <c r="H5">
        <v>24.62</v>
      </c>
      <c r="I5">
        <v>17.059999999999999</v>
      </c>
      <c r="J5" s="63">
        <v>7.61</v>
      </c>
      <c r="L5" s="64" t="s">
        <v>70</v>
      </c>
      <c r="M5" s="64"/>
      <c r="N5" s="64" t="s">
        <v>71</v>
      </c>
    </row>
    <row r="6" spans="1:18">
      <c r="B6">
        <v>3</v>
      </c>
      <c r="D6">
        <v>43810</v>
      </c>
      <c r="E6">
        <v>32960</v>
      </c>
      <c r="F6">
        <v>10850</v>
      </c>
      <c r="H6">
        <v>28.74</v>
      </c>
      <c r="I6">
        <v>17.86</v>
      </c>
      <c r="J6" s="63">
        <v>10.88</v>
      </c>
      <c r="L6" s="64">
        <f>M6*1.8+32</f>
        <v>86</v>
      </c>
      <c r="M6" s="64">
        <v>30</v>
      </c>
      <c r="N6" s="64">
        <f>0.335*M6-4.93</f>
        <v>5.120000000000001</v>
      </c>
      <c r="O6" t="s">
        <v>72</v>
      </c>
      <c r="Q6" s="73">
        <f>0.3765*M6 - 7.7583</f>
        <v>3.5366999999999997</v>
      </c>
      <c r="R6">
        <f>0.2475*M6 + 0.715</f>
        <v>8.14</v>
      </c>
    </row>
    <row r="7" spans="1:18">
      <c r="B7" s="65" t="s">
        <v>73</v>
      </c>
      <c r="C7" s="66"/>
      <c r="D7" s="66">
        <f>AVERAGE(D4:D6)</f>
        <v>46500</v>
      </c>
      <c r="E7" s="66">
        <f t="shared" ref="E7:F7" si="0">AVERAGE(E4:E6)</f>
        <v>34260</v>
      </c>
      <c r="F7" s="66">
        <f t="shared" si="0"/>
        <v>12240</v>
      </c>
      <c r="G7" s="66"/>
      <c r="H7" s="67">
        <f>AVERAGE(H4:H6)</f>
        <v>24.363333333333333</v>
      </c>
      <c r="I7" s="67">
        <f t="shared" ref="I7:J7" si="1">AVERAGE(I4:I6)</f>
        <v>15.743333333333332</v>
      </c>
      <c r="J7" s="68">
        <f t="shared" si="1"/>
        <v>8.6366666666666685</v>
      </c>
      <c r="L7" s="64">
        <f>M7*1.8+32</f>
        <v>104</v>
      </c>
      <c r="M7" s="64">
        <v>40</v>
      </c>
      <c r="N7" s="64">
        <v>8.6</v>
      </c>
      <c r="Q7">
        <f>J4</f>
        <v>7.42</v>
      </c>
      <c r="R7">
        <f>J6</f>
        <v>10.88</v>
      </c>
    </row>
    <row r="8" spans="1:18">
      <c r="A8">
        <v>50</v>
      </c>
      <c r="B8">
        <v>1</v>
      </c>
      <c r="D8">
        <v>44900</v>
      </c>
      <c r="E8">
        <v>33920</v>
      </c>
      <c r="F8">
        <v>10980</v>
      </c>
      <c r="H8">
        <v>27</v>
      </c>
      <c r="I8">
        <v>16.3</v>
      </c>
      <c r="J8" s="63">
        <v>11.3</v>
      </c>
      <c r="L8" s="64">
        <f t="shared" ref="L8:L9" si="2">M8*1.8+32</f>
        <v>122</v>
      </c>
      <c r="M8" s="64">
        <v>50</v>
      </c>
      <c r="N8" s="64">
        <v>11.56</v>
      </c>
      <c r="Q8">
        <f>J9</f>
        <v>10.83</v>
      </c>
      <c r="R8">
        <f>J10</f>
        <v>12.56</v>
      </c>
    </row>
    <row r="9" spans="1:18">
      <c r="B9">
        <v>2</v>
      </c>
      <c r="D9">
        <v>43490</v>
      </c>
      <c r="E9">
        <v>32610</v>
      </c>
      <c r="F9">
        <v>10880</v>
      </c>
      <c r="H9">
        <v>29.26</v>
      </c>
      <c r="I9">
        <v>18.43</v>
      </c>
      <c r="J9" s="63">
        <v>10.83</v>
      </c>
      <c r="L9" s="64">
        <f t="shared" si="2"/>
        <v>140</v>
      </c>
      <c r="M9" s="64">
        <v>60</v>
      </c>
      <c r="N9" s="64">
        <v>15.3</v>
      </c>
      <c r="Q9">
        <f>J12</f>
        <v>14.95</v>
      </c>
      <c r="R9">
        <f>J13</f>
        <v>15.83</v>
      </c>
    </row>
    <row r="10" spans="1:18">
      <c r="B10">
        <v>3</v>
      </c>
      <c r="D10">
        <v>41880</v>
      </c>
      <c r="E10">
        <v>32060</v>
      </c>
      <c r="F10">
        <v>9820</v>
      </c>
      <c r="H10">
        <v>31.88</v>
      </c>
      <c r="I10">
        <v>19.32</v>
      </c>
      <c r="J10" s="63">
        <v>12.56</v>
      </c>
      <c r="L10" s="64"/>
      <c r="M10" s="64"/>
      <c r="N10" s="64"/>
    </row>
    <row r="11" spans="1:18">
      <c r="B11" s="65" t="s">
        <v>73</v>
      </c>
      <c r="C11" s="66"/>
      <c r="D11" s="69">
        <f>AVERAGE(D8:D10)</f>
        <v>43423.333333333336</v>
      </c>
      <c r="E11" s="69">
        <f t="shared" ref="E11:F11" si="3">AVERAGE(E8:E10)</f>
        <v>32863.333333333336</v>
      </c>
      <c r="F11" s="69">
        <f t="shared" si="3"/>
        <v>10560</v>
      </c>
      <c r="G11" s="66"/>
      <c r="H11" s="67">
        <f>AVERAGE(H8:H10)</f>
        <v>29.38</v>
      </c>
      <c r="I11" s="67">
        <f t="shared" ref="I11:J11" si="4">AVERAGE(I8:I10)</f>
        <v>18.016666666666669</v>
      </c>
      <c r="J11" s="68">
        <f t="shared" si="4"/>
        <v>11.563333333333334</v>
      </c>
      <c r="L11" s="64"/>
      <c r="M11" s="64"/>
      <c r="N11" s="64"/>
    </row>
    <row r="12" spans="1:18">
      <c r="A12">
        <v>60</v>
      </c>
      <c r="B12">
        <v>1</v>
      </c>
      <c r="D12">
        <v>41280</v>
      </c>
      <c r="E12">
        <v>32930</v>
      </c>
      <c r="F12">
        <v>8350</v>
      </c>
      <c r="H12">
        <v>32.86</v>
      </c>
      <c r="I12">
        <v>17.91</v>
      </c>
      <c r="J12" s="63">
        <v>14.95</v>
      </c>
      <c r="L12" s="64"/>
      <c r="M12" s="64"/>
      <c r="N12" s="64"/>
    </row>
    <row r="13" spans="1:18">
      <c r="B13">
        <v>2</v>
      </c>
      <c r="D13">
        <v>39890</v>
      </c>
      <c r="E13">
        <v>31600</v>
      </c>
      <c r="F13">
        <v>8290</v>
      </c>
      <c r="H13">
        <v>35.11</v>
      </c>
      <c r="I13">
        <v>20.07</v>
      </c>
      <c r="J13" s="63">
        <v>15.83</v>
      </c>
      <c r="L13" s="64"/>
      <c r="M13" s="64"/>
      <c r="N13" s="64"/>
    </row>
    <row r="14" spans="1:18">
      <c r="B14">
        <v>3</v>
      </c>
      <c r="D14">
        <v>39260</v>
      </c>
      <c r="E14">
        <v>30940</v>
      </c>
      <c r="F14">
        <v>8220</v>
      </c>
      <c r="H14">
        <v>36.299999999999997</v>
      </c>
      <c r="I14">
        <v>21.15</v>
      </c>
      <c r="J14">
        <v>15.15</v>
      </c>
      <c r="L14" s="64"/>
      <c r="M14" s="64"/>
      <c r="N14" s="64"/>
    </row>
    <row r="15" spans="1:18">
      <c r="B15" s="70" t="s">
        <v>73</v>
      </c>
      <c r="C15" s="66"/>
      <c r="D15" s="69">
        <f>AVERAGE(D12:D14)</f>
        <v>40143.333333333336</v>
      </c>
      <c r="E15" s="69">
        <f t="shared" ref="E15:F15" si="5">AVERAGE(E12:E14)</f>
        <v>31823.333333333332</v>
      </c>
      <c r="F15" s="69">
        <f t="shared" si="5"/>
        <v>8286.6666666666661</v>
      </c>
      <c r="G15" s="66"/>
      <c r="H15" s="67">
        <f>AVERAGE(H12:H14)</f>
        <v>34.756666666666668</v>
      </c>
      <c r="I15" s="67">
        <f t="shared" ref="I15:J15" si="6">AVERAGE(I12:I14)</f>
        <v>19.71</v>
      </c>
      <c r="J15" s="67">
        <f t="shared" si="6"/>
        <v>15.31</v>
      </c>
      <c r="L15" s="64"/>
      <c r="M15" s="64"/>
      <c r="N15" s="64"/>
    </row>
    <row r="16" spans="1:18">
      <c r="B16" s="70"/>
      <c r="C16" s="66"/>
      <c r="D16" s="69"/>
      <c r="E16" s="69"/>
      <c r="F16" s="69"/>
      <c r="G16" s="66"/>
      <c r="H16" s="66"/>
      <c r="I16" s="66"/>
      <c r="J16" s="66"/>
      <c r="L16" s="62"/>
      <c r="M16" s="62"/>
      <c r="N16" s="62"/>
    </row>
    <row r="17" spans="1:10">
      <c r="A17" t="s">
        <v>74</v>
      </c>
      <c r="D17">
        <v>61480</v>
      </c>
      <c r="E17">
        <v>43940</v>
      </c>
      <c r="F17">
        <v>17540</v>
      </c>
      <c r="H17" t="s">
        <v>75</v>
      </c>
      <c r="I17" t="s">
        <v>75</v>
      </c>
      <c r="J17" t="s">
        <v>75</v>
      </c>
    </row>
    <row r="19" spans="1:10">
      <c r="A19" t="s">
        <v>76</v>
      </c>
      <c r="B19" s="71">
        <v>0.78400000000000003</v>
      </c>
      <c r="E19">
        <f>E17/D17</f>
        <v>0.71470396877033182</v>
      </c>
      <c r="F19">
        <f>F4/D4</f>
        <v>0.26301925025329281</v>
      </c>
    </row>
    <row r="20" spans="1:10">
      <c r="A20" t="s">
        <v>77</v>
      </c>
      <c r="B20">
        <v>960</v>
      </c>
      <c r="E20">
        <f>E4/D4</f>
        <v>0.73698074974670724</v>
      </c>
    </row>
    <row r="23" spans="1:10">
      <c r="A23" t="s">
        <v>78</v>
      </c>
    </row>
    <row r="24" spans="1:10">
      <c r="A24" t="s">
        <v>79</v>
      </c>
      <c r="B24">
        <v>106</v>
      </c>
    </row>
    <row r="25" spans="1:10">
      <c r="A25" t="s">
        <v>80</v>
      </c>
      <c r="B25" s="72">
        <v>0.16</v>
      </c>
    </row>
    <row r="26" spans="1:10">
      <c r="A26" t="s">
        <v>81</v>
      </c>
      <c r="B26" s="73">
        <f>B24*B25/6.25</f>
        <v>2.7136</v>
      </c>
    </row>
    <row r="27" spans="1:10">
      <c r="A27" t="s">
        <v>82</v>
      </c>
      <c r="B27" s="72">
        <v>0.3</v>
      </c>
      <c r="D27">
        <v>8.3000000000000004E-2</v>
      </c>
    </row>
    <row r="28" spans="1:10">
      <c r="A28" t="s">
        <v>83</v>
      </c>
      <c r="B28" s="74">
        <f>B26*B27</f>
        <v>0.81408000000000003</v>
      </c>
    </row>
    <row r="29" spans="1:10">
      <c r="A29" t="s">
        <v>84</v>
      </c>
      <c r="B29" s="75">
        <f>B24*B27/0.25</f>
        <v>127.19999999999999</v>
      </c>
    </row>
    <row r="30" spans="1:10">
      <c r="A30" t="s">
        <v>85</v>
      </c>
      <c r="B30" s="76">
        <v>5.0999999999999997E-2</v>
      </c>
      <c r="D30" s="62">
        <f>Q6/100</f>
        <v>3.5366999999999996E-2</v>
      </c>
      <c r="E30" s="62">
        <f>R6/100</f>
        <v>8.14E-2</v>
      </c>
      <c r="G30" t="s">
        <v>86</v>
      </c>
    </row>
    <row r="31" spans="1:10">
      <c r="A31" t="s">
        <v>87</v>
      </c>
      <c r="B31" s="76">
        <v>8.5999999999999993E-2</v>
      </c>
      <c r="D31" s="62">
        <f>J4/100</f>
        <v>7.4200000000000002E-2</v>
      </c>
      <c r="E31" s="62">
        <f>J6/100</f>
        <v>0.10880000000000001</v>
      </c>
      <c r="G31" t="s">
        <v>88</v>
      </c>
    </row>
    <row r="32" spans="1:10">
      <c r="A32" t="s">
        <v>89</v>
      </c>
      <c r="B32" s="76">
        <v>0.11600000000000001</v>
      </c>
      <c r="D32" s="62">
        <f>J9/100</f>
        <v>0.10830000000000001</v>
      </c>
      <c r="E32" s="62">
        <f>J10/100</f>
        <v>0.12560000000000002</v>
      </c>
      <c r="G32" t="s">
        <v>90</v>
      </c>
    </row>
    <row r="33" spans="1:14">
      <c r="A33" t="s">
        <v>91</v>
      </c>
      <c r="B33" s="76">
        <v>0.153</v>
      </c>
      <c r="D33" s="62">
        <f>J12/100</f>
        <v>0.14949999999999999</v>
      </c>
      <c r="E33" s="62">
        <f>J13/100</f>
        <v>0.1583</v>
      </c>
      <c r="G33" t="s">
        <v>92</v>
      </c>
      <c r="L33" s="82" t="s">
        <v>73</v>
      </c>
      <c r="M33" s="82" t="s">
        <v>98</v>
      </c>
      <c r="N33" s="82" t="s">
        <v>99</v>
      </c>
    </row>
    <row r="34" spans="1:14">
      <c r="A34" s="66" t="s">
        <v>93</v>
      </c>
      <c r="B34" s="77">
        <f>$B$28*B30/14*17</f>
        <v>5.0414811428571425E-2</v>
      </c>
      <c r="D34" s="77">
        <f>$B$28*D30/14*17</f>
        <v>3.4961188937142861E-2</v>
      </c>
      <c r="E34" s="77">
        <f t="shared" ref="E34" si="7">$B$28*E30/14*17</f>
        <v>8.0465993142857142E-2</v>
      </c>
      <c r="G34" s="78">
        <f>B34*10^6/454</f>
        <v>111.04584015103838</v>
      </c>
      <c r="H34" s="79" t="s">
        <v>94</v>
      </c>
      <c r="K34" s="83">
        <v>86</v>
      </c>
      <c r="L34" s="81">
        <f>B34*10^6/454</f>
        <v>111.04584015103838</v>
      </c>
      <c r="M34" s="81">
        <f t="shared" ref="M34:N37" si="8">D34*10^6/454</f>
        <v>77.007024090623048</v>
      </c>
      <c r="N34" s="81">
        <f t="shared" si="8"/>
        <v>177.23787035871618</v>
      </c>
    </row>
    <row r="35" spans="1:14">
      <c r="A35" s="66" t="s">
        <v>95</v>
      </c>
      <c r="B35" s="77">
        <f t="shared" ref="B35:E37" si="9">$B$28*B31/14*17</f>
        <v>8.501321142857142E-2</v>
      </c>
      <c r="D35" s="77">
        <f t="shared" si="9"/>
        <v>7.334860800000001E-2</v>
      </c>
      <c r="E35" s="77">
        <f t="shared" si="9"/>
        <v>0.10755159771428573</v>
      </c>
      <c r="G35" s="78">
        <f>B35*10^6/454</f>
        <v>187.25376966645686</v>
      </c>
      <c r="H35" s="79" t="s">
        <v>94</v>
      </c>
      <c r="K35" s="83">
        <v>104</v>
      </c>
      <c r="L35" s="81">
        <f t="shared" ref="L35:L37" si="10">B35*10^6/454</f>
        <v>187.25376966645686</v>
      </c>
      <c r="M35" s="81">
        <f t="shared" si="8"/>
        <v>161.56081057268725</v>
      </c>
      <c r="N35" s="81">
        <f t="shared" si="8"/>
        <v>236.89779232221525</v>
      </c>
    </row>
    <row r="36" spans="1:14">
      <c r="A36" s="66" t="s">
        <v>96</v>
      </c>
      <c r="B36" s="77">
        <f t="shared" si="9"/>
        <v>0.11466898285714287</v>
      </c>
      <c r="D36" s="77">
        <f t="shared" si="9"/>
        <v>0.10705733485714287</v>
      </c>
      <c r="E36" s="77">
        <f t="shared" si="9"/>
        <v>0.12415882971428574</v>
      </c>
      <c r="G36" s="78">
        <f>B36*10^6/454</f>
        <v>252.57485210824419</v>
      </c>
      <c r="H36" s="79" t="s">
        <v>94</v>
      </c>
      <c r="K36" s="83">
        <v>122</v>
      </c>
      <c r="L36" s="81">
        <f t="shared" si="10"/>
        <v>252.57485210824419</v>
      </c>
      <c r="M36" s="81">
        <f t="shared" si="8"/>
        <v>235.80910761485217</v>
      </c>
      <c r="N36" s="81">
        <f t="shared" si="8"/>
        <v>273.47759848961613</v>
      </c>
    </row>
    <row r="37" spans="1:14">
      <c r="A37" s="66" t="s">
        <v>97</v>
      </c>
      <c r="B37" s="77">
        <f t="shared" si="9"/>
        <v>0.15124443428571427</v>
      </c>
      <c r="D37" s="77">
        <f t="shared" si="9"/>
        <v>0.1477845942857143</v>
      </c>
      <c r="E37" s="77">
        <f t="shared" si="9"/>
        <v>0.15648362057142859</v>
      </c>
      <c r="G37" s="78">
        <f>B37*10^6/454</f>
        <v>333.13752045311509</v>
      </c>
      <c r="H37" s="79" t="s">
        <v>94</v>
      </c>
      <c r="K37" s="83">
        <v>140</v>
      </c>
      <c r="L37" s="81">
        <f t="shared" si="10"/>
        <v>333.13752045311509</v>
      </c>
      <c r="M37" s="81">
        <f t="shared" si="8"/>
        <v>325.51672750157331</v>
      </c>
      <c r="N37" s="81">
        <f t="shared" si="8"/>
        <v>344.6775783511643</v>
      </c>
    </row>
    <row r="38" spans="1:14">
      <c r="A38" s="66"/>
      <c r="B38" s="77"/>
      <c r="K38" s="74"/>
    </row>
    <row r="39" spans="1:14">
      <c r="A39" s="66"/>
      <c r="B39" s="77"/>
      <c r="K39" s="74"/>
    </row>
    <row r="40" spans="1:14">
      <c r="K40" s="74"/>
    </row>
    <row r="41" spans="1:14">
      <c r="B41" s="75"/>
    </row>
    <row r="42" spans="1:14">
      <c r="B42" s="75"/>
      <c r="K42" s="80"/>
    </row>
    <row r="43" spans="1:14">
      <c r="K43" s="8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USER</vt:lpstr>
      <vt:lpstr>table by facility</vt:lpstr>
      <vt:lpstr>Drying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</dc:creator>
  <cp:lastModifiedBy>Lesa Vold</cp:lastModifiedBy>
  <cp:lastPrinted>2017-11-17T23:18:12Z</cp:lastPrinted>
  <dcterms:created xsi:type="dcterms:W3CDTF">2017-05-05T15:45:08Z</dcterms:created>
  <dcterms:modified xsi:type="dcterms:W3CDTF">2018-01-08T21:04:29Z</dcterms:modified>
</cp:coreProperties>
</file>