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613"/>
  <workbookPr showInkAnnotation="0" autoCompressPictures="0"/>
  <workbookProtection workbookPassword="CE90" lockStructure="1"/>
  <bookViews>
    <workbookView xWindow="680" yWindow="960" windowWidth="26920" windowHeight="11080" tabRatio="500"/>
  </bookViews>
  <sheets>
    <sheet name="USER" sheetId="1" r:id="rId1"/>
    <sheet name="Emission Tables" sheetId="2" state="hidden" r:id="rId2"/>
  </sheets>
  <definedNames>
    <definedName name="_xlnm.Print_Area" localSheetId="0">USER!$A$1:$K$36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0" i="1" l="1"/>
  <c r="J30" i="1"/>
  <c r="I30" i="1"/>
  <c r="I15" i="1"/>
  <c r="J15" i="1"/>
  <c r="K15" i="1"/>
  <c r="I16" i="1"/>
  <c r="J16" i="1"/>
  <c r="K16" i="1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I24" i="1"/>
  <c r="J24" i="1"/>
  <c r="K24" i="1"/>
  <c r="I25" i="1"/>
  <c r="J25" i="1"/>
  <c r="K25" i="1"/>
  <c r="I26" i="1"/>
  <c r="J26" i="1"/>
  <c r="K26" i="1"/>
  <c r="I27" i="1"/>
  <c r="J27" i="1"/>
  <c r="K27" i="1"/>
  <c r="I28" i="1"/>
  <c r="J28" i="1"/>
  <c r="K28" i="1"/>
  <c r="I29" i="1"/>
  <c r="J29" i="1"/>
  <c r="K29" i="1"/>
  <c r="K14" i="1"/>
  <c r="J14" i="1"/>
  <c r="I14" i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4" i="2"/>
  <c r="C30" i="2"/>
  <c r="C26" i="2"/>
  <c r="C28" i="2"/>
  <c r="G20" i="2"/>
  <c r="H1" i="2"/>
  <c r="J20" i="2"/>
  <c r="K20" i="2"/>
  <c r="N20" i="2"/>
  <c r="M20" i="2"/>
  <c r="L20" i="2"/>
  <c r="E20" i="2"/>
  <c r="F20" i="2"/>
  <c r="G19" i="2"/>
  <c r="J19" i="2"/>
  <c r="K19" i="2"/>
  <c r="N19" i="2"/>
  <c r="M19" i="2"/>
  <c r="L19" i="2"/>
  <c r="E19" i="2"/>
  <c r="F19" i="2"/>
  <c r="G18" i="2"/>
  <c r="J18" i="2"/>
  <c r="K18" i="2"/>
  <c r="N18" i="2"/>
  <c r="M18" i="2"/>
  <c r="L18" i="2"/>
  <c r="E18" i="2"/>
  <c r="F18" i="2"/>
  <c r="G17" i="2"/>
  <c r="J17" i="2"/>
  <c r="K17" i="2"/>
  <c r="N17" i="2"/>
  <c r="M17" i="2"/>
  <c r="L17" i="2"/>
  <c r="E17" i="2"/>
  <c r="F17" i="2"/>
  <c r="G16" i="2"/>
  <c r="J16" i="2"/>
  <c r="K16" i="2"/>
  <c r="N16" i="2"/>
  <c r="M16" i="2"/>
  <c r="L16" i="2"/>
  <c r="E16" i="2"/>
  <c r="F16" i="2"/>
  <c r="G15" i="2"/>
  <c r="J15" i="2"/>
  <c r="K15" i="2"/>
  <c r="N15" i="2"/>
  <c r="M15" i="2"/>
  <c r="L15" i="2"/>
  <c r="E15" i="2"/>
  <c r="F15" i="2"/>
  <c r="G14" i="2"/>
  <c r="J14" i="2"/>
  <c r="K14" i="2"/>
  <c r="N14" i="2"/>
  <c r="M14" i="2"/>
  <c r="L14" i="2"/>
  <c r="E14" i="2"/>
  <c r="F14" i="2"/>
  <c r="G13" i="2"/>
  <c r="J13" i="2"/>
  <c r="K13" i="2"/>
  <c r="N13" i="2"/>
  <c r="M13" i="2"/>
  <c r="L13" i="2"/>
  <c r="E13" i="2"/>
  <c r="F13" i="2"/>
  <c r="G12" i="2"/>
  <c r="J12" i="2"/>
  <c r="K12" i="2"/>
  <c r="N12" i="2"/>
  <c r="M12" i="2"/>
  <c r="L12" i="2"/>
  <c r="E12" i="2"/>
  <c r="F12" i="2"/>
  <c r="G11" i="2"/>
  <c r="J11" i="2"/>
  <c r="K11" i="2"/>
  <c r="N11" i="2"/>
  <c r="M11" i="2"/>
  <c r="L11" i="2"/>
  <c r="E11" i="2"/>
  <c r="F11" i="2"/>
  <c r="G10" i="2"/>
  <c r="J10" i="2"/>
  <c r="K10" i="2"/>
  <c r="N10" i="2"/>
  <c r="M10" i="2"/>
  <c r="L10" i="2"/>
  <c r="E10" i="2"/>
  <c r="F10" i="2"/>
  <c r="G9" i="2"/>
  <c r="J9" i="2"/>
  <c r="K9" i="2"/>
  <c r="N9" i="2"/>
  <c r="M9" i="2"/>
  <c r="L9" i="2"/>
  <c r="E9" i="2"/>
  <c r="F9" i="2"/>
  <c r="G8" i="2"/>
  <c r="J8" i="2"/>
  <c r="K8" i="2"/>
  <c r="N8" i="2"/>
  <c r="M8" i="2"/>
  <c r="L8" i="2"/>
  <c r="E8" i="2"/>
  <c r="F8" i="2"/>
  <c r="G7" i="2"/>
  <c r="J7" i="2"/>
  <c r="K7" i="2"/>
  <c r="N7" i="2"/>
  <c r="M7" i="2"/>
  <c r="L7" i="2"/>
  <c r="E7" i="2"/>
  <c r="F7" i="2"/>
  <c r="G6" i="2"/>
  <c r="J6" i="2"/>
  <c r="K6" i="2"/>
  <c r="N6" i="2"/>
  <c r="M6" i="2"/>
  <c r="L6" i="2"/>
  <c r="E6" i="2"/>
  <c r="F6" i="2"/>
  <c r="G5" i="2"/>
  <c r="J5" i="2"/>
  <c r="K5" i="2"/>
  <c r="N5" i="2"/>
  <c r="M5" i="2"/>
  <c r="L5" i="2"/>
  <c r="E5" i="2"/>
  <c r="F5" i="2"/>
  <c r="G4" i="2"/>
  <c r="J4" i="2"/>
  <c r="K4" i="2"/>
  <c r="N4" i="2"/>
  <c r="M4" i="2"/>
  <c r="L4" i="2"/>
  <c r="E4" i="2"/>
  <c r="F4" i="2"/>
  <c r="F30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14" i="1"/>
  <c r="E14" i="1"/>
  <c r="G14" i="1"/>
  <c r="E15" i="1"/>
  <c r="G15" i="1"/>
  <c r="E16" i="1"/>
  <c r="G16" i="1"/>
  <c r="E17" i="1"/>
  <c r="G17" i="1"/>
  <c r="E18" i="1"/>
  <c r="G18" i="1"/>
  <c r="E19" i="1"/>
  <c r="G19" i="1"/>
  <c r="E20" i="1"/>
  <c r="G20" i="1"/>
  <c r="E21" i="1"/>
  <c r="G21" i="1"/>
  <c r="E22" i="1"/>
  <c r="G22" i="1"/>
  <c r="E23" i="1"/>
  <c r="G23" i="1"/>
  <c r="E24" i="1"/>
  <c r="G24" i="1"/>
  <c r="E25" i="1"/>
  <c r="G25" i="1"/>
  <c r="E26" i="1"/>
  <c r="G26" i="1"/>
  <c r="E27" i="1"/>
  <c r="G27" i="1"/>
  <c r="E28" i="1"/>
  <c r="G28" i="1"/>
  <c r="E29" i="1"/>
  <c r="G29" i="1"/>
  <c r="E30" i="1"/>
  <c r="G30" i="1"/>
  <c r="G35" i="1"/>
  <c r="F35" i="1"/>
  <c r="E35" i="1"/>
  <c r="A34" i="1"/>
</calcChain>
</file>

<file path=xl/sharedStrings.xml><?xml version="1.0" encoding="utf-8"?>
<sst xmlns="http://schemas.openxmlformats.org/spreadsheetml/2006/main" count="57" uniqueCount="46">
  <si>
    <t>Please enter facility data into green cells to obtain estimated farm emissions.</t>
  </si>
  <si>
    <t>DATE:</t>
  </si>
  <si>
    <t>FACILITY NAME:</t>
  </si>
  <si>
    <t>FACILITY ADDRESS:</t>
  </si>
  <si>
    <t>PRINT NAME:</t>
  </si>
  <si>
    <t>SIGNATURE:</t>
  </si>
  <si>
    <t>Age, wk</t>
  </si>
  <si>
    <t>MC of feed</t>
  </si>
  <si>
    <t>Feed in excretion</t>
  </si>
  <si>
    <t>Manure N emitted as NH3 (house level)</t>
  </si>
  <si>
    <t>House NH3 to manure storage NH3 ratio</t>
  </si>
  <si>
    <t xml:space="preserve"> </t>
  </si>
  <si>
    <t>House-level emisisons per million per day</t>
  </si>
  <si>
    <t>Manure storage emisisons per million per day</t>
  </si>
  <si>
    <t>Farm-level emisisons per million per day</t>
  </si>
  <si>
    <t>Avg. BW, g</t>
  </si>
  <si>
    <t>CP (%)</t>
  </si>
  <si>
    <t>FI, g/d (as is)</t>
  </si>
  <si>
    <t>FI, g/d (DM)</t>
  </si>
  <si>
    <t>Manure feed, g/d</t>
  </si>
  <si>
    <t>Manure N, g/d</t>
  </si>
  <si>
    <t>NH3, g/d</t>
  </si>
  <si>
    <t>MS NH3, g/d</t>
  </si>
  <si>
    <t>H+MS, g/d</t>
  </si>
  <si>
    <t>lb/MM-day</t>
  </si>
  <si>
    <t>For layers, average CP = 15.3% based on Hy-Line W36 management guide</t>
  </si>
  <si>
    <t>CSES results</t>
  </si>
  <si>
    <t>CC</t>
  </si>
  <si>
    <t>DFI, g/d</t>
  </si>
  <si>
    <t>House NH3, g/d</t>
  </si>
  <si>
    <t>% manure N as NH3</t>
  </si>
  <si>
    <t>NH3 from storage, g/d</t>
  </si>
  <si>
    <t>House to storage ratio</t>
  </si>
  <si>
    <t>House</t>
  </si>
  <si>
    <t>ESTIMATED SOURCE AND TOTAL FACILITY EMISSIONS, by AGE (lb/day)</t>
  </si>
  <si>
    <t>How many pullets of different ages you have in the facility?</t>
  </si>
  <si>
    <t>ESTIMATED TOTAL FACILITY EMISSIONS by SOURCE (lb/day)</t>
  </si>
  <si>
    <t>TOTAL facility pullets</t>
  </si>
  <si>
    <t>Manure Storage</t>
  </si>
  <si>
    <t>Farm Total</t>
  </si>
  <si>
    <t>Emission factor (in lb per million pullets per day)</t>
  </si>
  <si>
    <t>Total Pullets</t>
  </si>
  <si>
    <t>with Manure hauled off the farm *</t>
  </si>
  <si>
    <t>* If manure is hauled off the farm immediately after drying (i.e., no on-farm storage). Enter the number of pullets that contribute to the manure that is hauled off the farm immediately.</t>
  </si>
  <si>
    <t>Calculation of Ammonia Emission from Pullet Farm with Manure Belt Houses</t>
  </si>
  <si>
    <t>with NO or LONG TERM onsite manure storage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</si>
</sst>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,##0_ ;\-#,##0\ "/>
    <numFmt numFmtId="165" formatCode="0.0%"/>
    <numFmt numFmtId="166" formatCode="_(* #,##0_);_(* \(#,##0\);_(* &quot;-&quot;??_);_(@_)"/>
    <numFmt numFmtId="167" formatCode="0.0"/>
    <numFmt numFmtId="168" formatCode="0.000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 tint="-0.14999847407452621"/>
      <name val="Calibri"/>
      <scheme val="minor"/>
    </font>
    <font>
      <sz val="11"/>
      <color theme="0" tint="-0.14999847407452621"/>
      <name val="Calibri"/>
      <scheme val="minor"/>
    </font>
    <font>
      <b/>
      <i/>
      <sz val="14"/>
      <color theme="1"/>
      <name val="Calibri"/>
      <scheme val="minor"/>
    </font>
    <font>
      <b/>
      <i/>
      <u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6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3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wrapText="1"/>
    </xf>
    <xf numFmtId="9" fontId="0" fillId="3" borderId="0" xfId="0" applyNumberFormat="1" applyFill="1" applyAlignment="1">
      <alignment horizontal="center" wrapText="1"/>
    </xf>
    <xf numFmtId="165" fontId="0" fillId="3" borderId="0" xfId="0" applyNumberFormat="1" applyFill="1" applyAlignment="1">
      <alignment horizontal="center" wrapText="1"/>
    </xf>
    <xf numFmtId="166" fontId="4" fillId="3" borderId="0" xfId="1" applyNumberFormat="1" applyFont="1" applyFill="1" applyAlignment="1">
      <alignment horizontal="center" wrapText="1"/>
    </xf>
    <xf numFmtId="0" fontId="0" fillId="0" borderId="0" xfId="0" applyAlignment="1">
      <alignment horizontal="center" vertical="center" wrapText="1"/>
    </xf>
    <xf numFmtId="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quotePrefix="1" applyFont="1" applyAlignment="1">
      <alignment horizontal="center" wrapText="1"/>
    </xf>
    <xf numFmtId="0" fontId="0" fillId="0" borderId="0" xfId="0" applyAlignment="1">
      <alignment wrapText="1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 vertical="center"/>
    </xf>
    <xf numFmtId="166" fontId="0" fillId="4" borderId="0" xfId="0" applyNumberFormat="1" applyFill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165" fontId="0" fillId="0" borderId="0" xfId="2" applyNumberFormat="1" applyFont="1" applyAlignment="1">
      <alignment horizontal="center"/>
    </xf>
    <xf numFmtId="0" fontId="4" fillId="0" borderId="0" xfId="0" applyFont="1"/>
    <xf numFmtId="0" fontId="3" fillId="0" borderId="0" xfId="0" applyFont="1" applyProtection="1"/>
    <xf numFmtId="0" fontId="3" fillId="0" borderId="0" xfId="0" applyFont="1"/>
    <xf numFmtId="164" fontId="3" fillId="2" borderId="6" xfId="1" applyNumberFormat="1" applyFont="1" applyFill="1" applyBorder="1" applyAlignment="1" applyProtection="1">
      <protection locked="0"/>
    </xf>
    <xf numFmtId="164" fontId="3" fillId="2" borderId="9" xfId="1" applyNumberFormat="1" applyFont="1" applyFill="1" applyBorder="1" applyAlignment="1" applyProtection="1">
      <protection locked="0"/>
    </xf>
    <xf numFmtId="0" fontId="2" fillId="0" borderId="5" xfId="0" applyFont="1" applyBorder="1" applyAlignment="1" applyProtection="1">
      <alignment horizontal="center"/>
    </xf>
    <xf numFmtId="0" fontId="2" fillId="0" borderId="0" xfId="0" applyFont="1" applyProtection="1"/>
    <xf numFmtId="0" fontId="3" fillId="0" borderId="5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0" xfId="0" applyFont="1" applyBorder="1" applyProtection="1"/>
    <xf numFmtId="0" fontId="2" fillId="5" borderId="5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5" borderId="6" xfId="0" applyFont="1" applyFill="1" applyBorder="1" applyAlignment="1" applyProtection="1">
      <alignment horizontal="center" vertical="center" wrapText="1"/>
    </xf>
    <xf numFmtId="164" fontId="3" fillId="6" borderId="5" xfId="1" applyNumberFormat="1" applyFont="1" applyFill="1" applyBorder="1" applyAlignment="1" applyProtection="1"/>
    <xf numFmtId="164" fontId="3" fillId="6" borderId="1" xfId="1" applyNumberFormat="1" applyFont="1" applyFill="1" applyBorder="1" applyAlignment="1" applyProtection="1"/>
    <xf numFmtId="164" fontId="3" fillId="6" borderId="6" xfId="1" applyNumberFormat="1" applyFont="1" applyFill="1" applyBorder="1" applyAlignment="1" applyProtection="1"/>
    <xf numFmtId="164" fontId="3" fillId="6" borderId="7" xfId="1" applyNumberFormat="1" applyFont="1" applyFill="1" applyBorder="1" applyAlignment="1" applyProtection="1"/>
    <xf numFmtId="164" fontId="3" fillId="6" borderId="8" xfId="1" applyNumberFormat="1" applyFont="1" applyFill="1" applyBorder="1" applyAlignment="1" applyProtection="1"/>
    <xf numFmtId="164" fontId="3" fillId="6" borderId="9" xfId="1" applyNumberFormat="1" applyFont="1" applyFill="1" applyBorder="1" applyAlignment="1" applyProtection="1"/>
    <xf numFmtId="164" fontId="2" fillId="5" borderId="7" xfId="1" applyNumberFormat="1" applyFont="1" applyFill="1" applyBorder="1" applyAlignment="1" applyProtection="1"/>
    <xf numFmtId="164" fontId="2" fillId="5" borderId="8" xfId="1" applyNumberFormat="1" applyFont="1" applyFill="1" applyBorder="1" applyAlignment="1" applyProtection="1"/>
    <xf numFmtId="164" fontId="2" fillId="5" borderId="9" xfId="1" applyNumberFormat="1" applyFont="1" applyFill="1" applyBorder="1" applyAlignment="1" applyProtection="1"/>
    <xf numFmtId="0" fontId="2" fillId="0" borderId="0" xfId="0" applyFont="1" applyBorder="1" applyAlignment="1" applyProtection="1">
      <alignment horizontal="center" vertical="center" wrapText="1"/>
    </xf>
    <xf numFmtId="164" fontId="2" fillId="0" borderId="0" xfId="1" applyNumberFormat="1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wrapText="1"/>
    </xf>
    <xf numFmtId="164" fontId="3" fillId="2" borderId="1" xfId="1" applyNumberFormat="1" applyFont="1" applyFill="1" applyBorder="1" applyAlignment="1" applyProtection="1">
      <protection locked="0"/>
    </xf>
    <xf numFmtId="0" fontId="2" fillId="0" borderId="6" xfId="0" applyFont="1" applyBorder="1" applyAlignment="1" applyProtection="1">
      <alignment horizontal="center" wrapText="1"/>
    </xf>
    <xf numFmtId="164" fontId="3" fillId="2" borderId="8" xfId="1" applyNumberFormat="1" applyFont="1" applyFill="1" applyBorder="1" applyAlignment="1" applyProtection="1">
      <protection locked="0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164" fontId="9" fillId="0" borderId="5" xfId="1" applyNumberFormat="1" applyFont="1" applyFill="1" applyBorder="1" applyAlignment="1" applyProtection="1"/>
    <xf numFmtId="164" fontId="9" fillId="0" borderId="1" xfId="1" applyNumberFormat="1" applyFont="1" applyFill="1" applyBorder="1" applyAlignment="1" applyProtection="1"/>
    <xf numFmtId="164" fontId="9" fillId="0" borderId="6" xfId="1" applyNumberFormat="1" applyFont="1" applyFill="1" applyBorder="1" applyAlignment="1" applyProtection="1"/>
    <xf numFmtId="164" fontId="9" fillId="0" borderId="7" xfId="1" applyNumberFormat="1" applyFont="1" applyFill="1" applyBorder="1" applyAlignment="1" applyProtection="1"/>
    <xf numFmtId="164" fontId="9" fillId="0" borderId="8" xfId="1" applyNumberFormat="1" applyFont="1" applyFill="1" applyBorder="1" applyAlignment="1" applyProtection="1"/>
    <xf numFmtId="164" fontId="9" fillId="0" borderId="9" xfId="1" applyNumberFormat="1" applyFont="1" applyFill="1" applyBorder="1" applyAlignment="1" applyProtection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13" xfId="0" applyFont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horizontal="left" vertical="center" wrapText="1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164" fontId="2" fillId="0" borderId="1" xfId="1" applyNumberFormat="1" applyFont="1" applyFill="1" applyBorder="1" applyAlignment="1" applyProtection="1">
      <alignment horizont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0" fillId="0" borderId="0" xfId="0" applyAlignment="1">
      <alignment horizontal="left" wrapText="1"/>
    </xf>
  </cellXfs>
  <cellStyles count="63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Normal" xfId="0" builtinId="0"/>
    <cellStyle name="Percent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R13" sqref="R13"/>
    </sheetView>
  </sheetViews>
  <sheetFormatPr baseColWidth="10" defaultColWidth="11" defaultRowHeight="15" x14ac:dyDescent="0"/>
  <cols>
    <col min="1" max="1" width="8" customWidth="1"/>
    <col min="2" max="2" width="10.1640625" customWidth="1"/>
    <col min="3" max="3" width="16.83203125" customWidth="1"/>
    <col min="4" max="4" width="2.6640625" customWidth="1"/>
    <col min="5" max="7" width="9.83203125" customWidth="1"/>
    <col min="8" max="8" width="2.5" customWidth="1"/>
    <col min="9" max="11" width="7.6640625" customWidth="1"/>
    <col min="12" max="12" width="1.1640625" customWidth="1"/>
  </cols>
  <sheetData>
    <row r="1" spans="1:11" ht="18">
      <c r="A1" s="65" t="s">
        <v>44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8">
      <c r="A2" s="66" t="s">
        <v>45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4" spans="1:11">
      <c r="A4" s="1" t="s">
        <v>0</v>
      </c>
      <c r="B4" s="1"/>
      <c r="C4" s="1"/>
      <c r="D4" s="1"/>
      <c r="E4" s="1"/>
      <c r="F4" s="1"/>
      <c r="G4" s="2"/>
    </row>
    <row r="5" spans="1:11" ht="12" customHeight="1" thickBot="1">
      <c r="A5" s="1"/>
      <c r="B5" s="1"/>
      <c r="C5" s="1"/>
      <c r="D5" s="1"/>
      <c r="E5" s="1"/>
      <c r="F5" s="2"/>
      <c r="G5" s="1"/>
    </row>
    <row r="6" spans="1:11" ht="16" thickBot="1">
      <c r="A6" s="67" t="s">
        <v>1</v>
      </c>
      <c r="B6" s="68"/>
      <c r="C6" s="69"/>
      <c r="D6" s="69"/>
      <c r="E6" s="69"/>
      <c r="F6" s="69"/>
      <c r="G6" s="69"/>
      <c r="H6" s="69"/>
      <c r="I6" s="69"/>
      <c r="J6" s="69"/>
      <c r="K6" s="70"/>
    </row>
    <row r="7" spans="1:11" ht="16" thickBot="1">
      <c r="A7" s="67" t="s">
        <v>2</v>
      </c>
      <c r="B7" s="68"/>
      <c r="C7" s="69"/>
      <c r="D7" s="69"/>
      <c r="E7" s="69"/>
      <c r="F7" s="69"/>
      <c r="G7" s="69"/>
      <c r="H7" s="69"/>
      <c r="I7" s="69"/>
      <c r="J7" s="69"/>
      <c r="K7" s="70"/>
    </row>
    <row r="8" spans="1:11" ht="33" customHeight="1" thickBot="1">
      <c r="A8" s="67" t="s">
        <v>3</v>
      </c>
      <c r="B8" s="68"/>
      <c r="C8" s="69"/>
      <c r="D8" s="69"/>
      <c r="E8" s="69"/>
      <c r="F8" s="69"/>
      <c r="G8" s="69"/>
      <c r="H8" s="69"/>
      <c r="I8" s="69"/>
      <c r="J8" s="69"/>
      <c r="K8" s="70"/>
    </row>
    <row r="9" spans="1:11" ht="16" thickBot="1">
      <c r="A9" s="67" t="s">
        <v>4</v>
      </c>
      <c r="B9" s="68"/>
      <c r="C9" s="69"/>
      <c r="D9" s="69"/>
      <c r="E9" s="69"/>
      <c r="F9" s="69"/>
      <c r="G9" s="69"/>
      <c r="H9" s="69"/>
      <c r="I9" s="69"/>
      <c r="J9" s="69"/>
      <c r="K9" s="70"/>
    </row>
    <row r="10" spans="1:11" ht="16" thickBot="1">
      <c r="A10" s="67" t="s">
        <v>5</v>
      </c>
      <c r="B10" s="68"/>
      <c r="C10" s="69"/>
      <c r="D10" s="69"/>
      <c r="E10" s="69"/>
      <c r="F10" s="69"/>
      <c r="G10" s="69"/>
      <c r="H10" s="69"/>
      <c r="I10" s="69"/>
      <c r="J10" s="69"/>
      <c r="K10" s="70"/>
    </row>
    <row r="11" spans="1:11" ht="16" thickBot="1">
      <c r="A11" s="1"/>
      <c r="B11" s="1"/>
      <c r="C11" s="1"/>
      <c r="D11" s="3"/>
      <c r="E11" s="3"/>
      <c r="F11" s="1"/>
      <c r="G11" s="1"/>
    </row>
    <row r="12" spans="1:11" s="30" customFormat="1" ht="32" customHeight="1">
      <c r="A12" s="79" t="s">
        <v>35</v>
      </c>
      <c r="B12" s="80"/>
      <c r="C12" s="81"/>
      <c r="D12" s="29"/>
      <c r="E12" s="76" t="s">
        <v>34</v>
      </c>
      <c r="F12" s="77"/>
      <c r="G12" s="78"/>
      <c r="I12" s="72" t="s">
        <v>40</v>
      </c>
      <c r="J12" s="73"/>
      <c r="K12" s="74"/>
    </row>
    <row r="13" spans="1:11" s="30" customFormat="1" ht="28">
      <c r="A13" s="33" t="s">
        <v>6</v>
      </c>
      <c r="B13" s="52" t="s">
        <v>41</v>
      </c>
      <c r="C13" s="54" t="s">
        <v>42</v>
      </c>
      <c r="D13" s="34"/>
      <c r="E13" s="38" t="s">
        <v>33</v>
      </c>
      <c r="F13" s="39" t="s">
        <v>38</v>
      </c>
      <c r="G13" s="40" t="s">
        <v>39</v>
      </c>
      <c r="I13" s="56" t="s">
        <v>33</v>
      </c>
      <c r="J13" s="57" t="s">
        <v>38</v>
      </c>
      <c r="K13" s="58" t="s">
        <v>39</v>
      </c>
    </row>
    <row r="14" spans="1:11" s="30" customFormat="1" ht="14">
      <c r="A14" s="35">
        <v>1</v>
      </c>
      <c r="B14" s="53">
        <v>0</v>
      </c>
      <c r="C14" s="31">
        <v>0</v>
      </c>
      <c r="D14" s="29"/>
      <c r="E14" s="41">
        <f>$B14/1000000*I14</f>
        <v>0</v>
      </c>
      <c r="F14" s="42">
        <f>($B14-$C14)/1000000*J14</f>
        <v>0</v>
      </c>
      <c r="G14" s="43">
        <f>E14+F14</f>
        <v>0</v>
      </c>
      <c r="I14" s="59">
        <f>VLOOKUP($A14,'Emission Tables'!$A$4:$N$20,12,FALSE)</f>
        <v>32.690603739902862</v>
      </c>
      <c r="J14" s="60">
        <f>VLOOKUP($A14,'Emission Tables'!$A$4:$N$20,13,FALSE)</f>
        <v>82.761022126336357</v>
      </c>
      <c r="K14" s="61">
        <f>VLOOKUP($A14,'Emission Tables'!$A$4:$N$20,14,FALSE)</f>
        <v>115.45162586623923</v>
      </c>
    </row>
    <row r="15" spans="1:11" s="30" customFormat="1" ht="14">
      <c r="A15" s="35">
        <v>2</v>
      </c>
      <c r="B15" s="53">
        <v>0</v>
      </c>
      <c r="C15" s="31">
        <v>0</v>
      </c>
      <c r="D15" s="29"/>
      <c r="E15" s="41">
        <f t="shared" ref="E15:E30" si="0">$B15/1000000*I15</f>
        <v>0</v>
      </c>
      <c r="F15" s="42">
        <f t="shared" ref="F15:F30" si="1">($B15-$C15)/1000000*J15</f>
        <v>0</v>
      </c>
      <c r="G15" s="43">
        <f t="shared" ref="G15:G30" si="2">E15+F15</f>
        <v>0</v>
      </c>
      <c r="I15" s="59">
        <f>VLOOKUP($A15,'Emission Tables'!$A$4:$N$20,12,FALSE)</f>
        <v>37.199652531613594</v>
      </c>
      <c r="J15" s="60">
        <f>VLOOKUP($A15,'Emission Tables'!$A$4:$N$20,13,FALSE)</f>
        <v>94.176335523072382</v>
      </c>
      <c r="K15" s="61">
        <f>VLOOKUP($A15,'Emission Tables'!$A$4:$N$20,14,FALSE)</f>
        <v>131.37598805468602</v>
      </c>
    </row>
    <row r="16" spans="1:11" s="30" customFormat="1" ht="14">
      <c r="A16" s="35">
        <v>3</v>
      </c>
      <c r="B16" s="53">
        <v>0</v>
      </c>
      <c r="C16" s="31">
        <v>0</v>
      </c>
      <c r="D16" s="29"/>
      <c r="E16" s="41">
        <f t="shared" si="0"/>
        <v>0</v>
      </c>
      <c r="F16" s="42">
        <f t="shared" si="1"/>
        <v>0</v>
      </c>
      <c r="G16" s="43">
        <f t="shared" si="2"/>
        <v>0</v>
      </c>
      <c r="I16" s="59">
        <f>VLOOKUP($A16,'Emission Tables'!$A$4:$N$20,12,FALSE)</f>
        <v>42.835963521252026</v>
      </c>
      <c r="J16" s="60">
        <f>VLOOKUP($A16,'Emission Tables'!$A$4:$N$20,13,FALSE)</f>
        <v>108.44547726899248</v>
      </c>
      <c r="K16" s="61">
        <f>VLOOKUP($A16,'Emission Tables'!$A$4:$N$20,14,FALSE)</f>
        <v>151.28144079024446</v>
      </c>
    </row>
    <row r="17" spans="1:11" s="30" customFormat="1" ht="14">
      <c r="A17" s="35">
        <v>4</v>
      </c>
      <c r="B17" s="53">
        <v>0</v>
      </c>
      <c r="C17" s="31">
        <v>0</v>
      </c>
      <c r="D17" s="29"/>
      <c r="E17" s="41">
        <f t="shared" si="0"/>
        <v>0</v>
      </c>
      <c r="F17" s="42">
        <f t="shared" si="1"/>
        <v>0</v>
      </c>
      <c r="G17" s="43">
        <f t="shared" si="2"/>
        <v>0</v>
      </c>
      <c r="I17" s="59">
        <f>VLOOKUP($A17,'Emission Tables'!$A$4:$N$20,12,FALSE)</f>
        <v>61.717605336540736</v>
      </c>
      <c r="J17" s="60">
        <f>VLOOKUP($A17,'Emission Tables'!$A$4:$N$20,13,FALSE)</f>
        <v>156.24710211782462</v>
      </c>
      <c r="K17" s="61">
        <f>VLOOKUP($A17,'Emission Tables'!$A$4:$N$20,14,FALSE)</f>
        <v>217.9647074543654</v>
      </c>
    </row>
    <row r="18" spans="1:11" s="30" customFormat="1" ht="14">
      <c r="A18" s="35">
        <v>5</v>
      </c>
      <c r="B18" s="53">
        <v>0</v>
      </c>
      <c r="C18" s="31">
        <v>0</v>
      </c>
      <c r="D18" s="29"/>
      <c r="E18" s="41">
        <f t="shared" si="0"/>
        <v>0</v>
      </c>
      <c r="F18" s="42">
        <f t="shared" si="1"/>
        <v>0</v>
      </c>
      <c r="G18" s="43">
        <f t="shared" si="2"/>
        <v>0</v>
      </c>
      <c r="I18" s="59">
        <f>VLOOKUP($A18,'Emission Tables'!$A$4:$N$20,12,FALSE)</f>
        <v>80.232886937502954</v>
      </c>
      <c r="J18" s="60">
        <f>VLOOKUP($A18,'Emission Tables'!$A$4:$N$20,13,FALSE)</f>
        <v>203.12123275317202</v>
      </c>
      <c r="K18" s="61">
        <f>VLOOKUP($A18,'Emission Tables'!$A$4:$N$20,14,FALSE)</f>
        <v>283.35411969067496</v>
      </c>
    </row>
    <row r="19" spans="1:11" s="30" customFormat="1" ht="14">
      <c r="A19" s="35">
        <v>6</v>
      </c>
      <c r="B19" s="53">
        <v>0</v>
      </c>
      <c r="C19" s="31">
        <v>0</v>
      </c>
      <c r="D19" s="29"/>
      <c r="E19" s="41">
        <f t="shared" si="0"/>
        <v>0</v>
      </c>
      <c r="F19" s="42">
        <f t="shared" si="1"/>
        <v>0</v>
      </c>
      <c r="G19" s="43">
        <f t="shared" si="2"/>
        <v>0</v>
      </c>
      <c r="I19" s="59">
        <f>VLOOKUP($A19,'Emission Tables'!$A$4:$N$20,12,FALSE)</f>
        <v>86.404647471157034</v>
      </c>
      <c r="J19" s="60">
        <f>VLOOKUP($A19,'Emission Tables'!$A$4:$N$20,13,FALSE)</f>
        <v>218.74594296495451</v>
      </c>
      <c r="K19" s="61">
        <f>VLOOKUP($A19,'Emission Tables'!$A$4:$N$20,14,FALSE)</f>
        <v>305.1505904361116</v>
      </c>
    </row>
    <row r="20" spans="1:11" s="30" customFormat="1" ht="14">
      <c r="A20" s="35">
        <v>7</v>
      </c>
      <c r="B20" s="53">
        <v>0</v>
      </c>
      <c r="C20" s="31">
        <v>0</v>
      </c>
      <c r="D20" s="29"/>
      <c r="E20" s="41">
        <f t="shared" si="0"/>
        <v>0</v>
      </c>
      <c r="F20" s="42">
        <f t="shared" si="1"/>
        <v>0</v>
      </c>
      <c r="G20" s="43">
        <f t="shared" si="2"/>
        <v>0</v>
      </c>
      <c r="I20" s="59">
        <f>VLOOKUP($A20,'Emission Tables'!$A$4:$N$20,12,FALSE)</f>
        <v>84.826480394058265</v>
      </c>
      <c r="J20" s="60">
        <f>VLOOKUP($A20,'Emission Tables'!$A$4:$N$20,13,FALSE)</f>
        <v>214.75058327609688</v>
      </c>
      <c r="K20" s="61">
        <f>VLOOKUP($A20,'Emission Tables'!$A$4:$N$20,14,FALSE)</f>
        <v>299.57706367015516</v>
      </c>
    </row>
    <row r="21" spans="1:11" s="30" customFormat="1" ht="14">
      <c r="A21" s="35">
        <v>8</v>
      </c>
      <c r="B21" s="53">
        <v>0</v>
      </c>
      <c r="C21" s="31">
        <v>0</v>
      </c>
      <c r="D21" s="29"/>
      <c r="E21" s="41">
        <f t="shared" si="0"/>
        <v>0</v>
      </c>
      <c r="F21" s="42">
        <f t="shared" si="1"/>
        <v>0</v>
      </c>
      <c r="G21" s="43">
        <f t="shared" si="2"/>
        <v>0</v>
      </c>
      <c r="I21" s="59">
        <f>VLOOKUP($A21,'Emission Tables'!$A$4:$N$20,12,FALSE)</f>
        <v>90.744606933178616</v>
      </c>
      <c r="J21" s="60">
        <f>VLOOKUP($A21,'Emission Tables'!$A$4:$N$20,13,FALSE)</f>
        <v>229.73318210931291</v>
      </c>
      <c r="K21" s="61">
        <f>VLOOKUP($A21,'Emission Tables'!$A$4:$N$20,14,FALSE)</f>
        <v>320.47778904249151</v>
      </c>
    </row>
    <row r="22" spans="1:11" s="30" customFormat="1" ht="14">
      <c r="A22" s="35">
        <v>9</v>
      </c>
      <c r="B22" s="53">
        <v>0</v>
      </c>
      <c r="C22" s="31">
        <v>0</v>
      </c>
      <c r="D22" s="29"/>
      <c r="E22" s="41">
        <f t="shared" si="0"/>
        <v>0</v>
      </c>
      <c r="F22" s="42">
        <f t="shared" si="1"/>
        <v>0</v>
      </c>
      <c r="G22" s="43">
        <f t="shared" si="2"/>
        <v>0</v>
      </c>
      <c r="I22" s="59">
        <f>VLOOKUP($A22,'Emission Tables'!$A$4:$N$20,12,FALSE)</f>
        <v>94.690024625925503</v>
      </c>
      <c r="J22" s="60">
        <f>VLOOKUP($A22,'Emission Tables'!$A$4:$N$20,13,FALSE)</f>
        <v>239.72158133145697</v>
      </c>
      <c r="K22" s="61">
        <f>VLOOKUP($A22,'Emission Tables'!$A$4:$N$20,14,FALSE)</f>
        <v>334.41160595738251</v>
      </c>
    </row>
    <row r="23" spans="1:11" s="30" customFormat="1" ht="14">
      <c r="A23" s="35">
        <v>10</v>
      </c>
      <c r="B23" s="53">
        <v>0</v>
      </c>
      <c r="C23" s="31">
        <v>0</v>
      </c>
      <c r="D23" s="29"/>
      <c r="E23" s="41">
        <f t="shared" si="0"/>
        <v>0</v>
      </c>
      <c r="F23" s="42">
        <f t="shared" si="1"/>
        <v>0</v>
      </c>
      <c r="G23" s="43">
        <f t="shared" si="2"/>
        <v>0</v>
      </c>
      <c r="I23" s="59">
        <f>VLOOKUP($A23,'Emission Tables'!$A$4:$N$20,12,FALSE)</f>
        <v>100.60815116504585</v>
      </c>
      <c r="J23" s="60">
        <f>VLOOKUP($A23,'Emission Tables'!$A$4:$N$20,13,FALSE)</f>
        <v>254.70418016467306</v>
      </c>
      <c r="K23" s="61">
        <f>VLOOKUP($A23,'Emission Tables'!$A$4:$N$20,14,FALSE)</f>
        <v>355.31233132971892</v>
      </c>
    </row>
    <row r="24" spans="1:11" s="30" customFormat="1" ht="14">
      <c r="A24" s="35">
        <v>11</v>
      </c>
      <c r="B24" s="53">
        <v>0</v>
      </c>
      <c r="C24" s="31">
        <v>0</v>
      </c>
      <c r="D24" s="29"/>
      <c r="E24" s="41">
        <f t="shared" si="0"/>
        <v>0</v>
      </c>
      <c r="F24" s="42">
        <f t="shared" si="1"/>
        <v>0</v>
      </c>
      <c r="G24" s="43">
        <f t="shared" si="2"/>
        <v>0</v>
      </c>
      <c r="I24" s="59">
        <f>VLOOKUP($A24,'Emission Tables'!$A$4:$N$20,12,FALSE)</f>
        <v>104.55356885779273</v>
      </c>
      <c r="J24" s="60">
        <f>VLOOKUP($A24,'Emission Tables'!$A$4:$N$20,13,FALSE)</f>
        <v>264.69257938681699</v>
      </c>
      <c r="K24" s="61">
        <f>VLOOKUP($A24,'Emission Tables'!$A$4:$N$20,14,FALSE)</f>
        <v>369.24614824460974</v>
      </c>
    </row>
    <row r="25" spans="1:11" s="30" customFormat="1" ht="14">
      <c r="A25" s="35">
        <v>12</v>
      </c>
      <c r="B25" s="53">
        <v>0</v>
      </c>
      <c r="C25" s="31">
        <v>0</v>
      </c>
      <c r="D25" s="29"/>
      <c r="E25" s="41">
        <f t="shared" si="0"/>
        <v>0</v>
      </c>
      <c r="F25" s="42">
        <f t="shared" si="1"/>
        <v>0</v>
      </c>
      <c r="G25" s="43">
        <f t="shared" si="2"/>
        <v>0</v>
      </c>
      <c r="I25" s="59">
        <f>VLOOKUP($A25,'Emission Tables'!$A$4:$N$20,12,FALSE)</f>
        <v>106.52627770416619</v>
      </c>
      <c r="J25" s="60">
        <f>VLOOKUP($A25,'Emission Tables'!$A$4:$N$20,13,FALSE)</f>
        <v>269.68677899788912</v>
      </c>
      <c r="K25" s="61">
        <f>VLOOKUP($A25,'Emission Tables'!$A$4:$N$20,14,FALSE)</f>
        <v>376.21305670205533</v>
      </c>
    </row>
    <row r="26" spans="1:11" s="30" customFormat="1" ht="14">
      <c r="A26" s="35">
        <v>13</v>
      </c>
      <c r="B26" s="53">
        <v>0</v>
      </c>
      <c r="C26" s="31">
        <v>0</v>
      </c>
      <c r="D26" s="29"/>
      <c r="E26" s="41">
        <f t="shared" si="0"/>
        <v>0</v>
      </c>
      <c r="F26" s="42">
        <f t="shared" si="1"/>
        <v>0</v>
      </c>
      <c r="G26" s="43">
        <f t="shared" si="2"/>
        <v>0</v>
      </c>
      <c r="I26" s="59">
        <f>VLOOKUP($A26,'Emission Tables'!$A$4:$N$20,12,FALSE)</f>
        <v>101.00269293432056</v>
      </c>
      <c r="J26" s="60">
        <f>VLOOKUP($A26,'Emission Tables'!$A$4:$N$20,13,FALSE)</f>
        <v>255.70302008688748</v>
      </c>
      <c r="K26" s="61">
        <f>VLOOKUP($A26,'Emission Tables'!$A$4:$N$20,14,FALSE)</f>
        <v>356.70571302120806</v>
      </c>
    </row>
    <row r="27" spans="1:11" s="30" customFormat="1" ht="14">
      <c r="A27" s="35">
        <v>14</v>
      </c>
      <c r="B27" s="53">
        <v>0</v>
      </c>
      <c r="C27" s="31">
        <v>0</v>
      </c>
      <c r="D27" s="29"/>
      <c r="E27" s="41">
        <f t="shared" si="0"/>
        <v>0</v>
      </c>
      <c r="F27" s="42">
        <f t="shared" si="1"/>
        <v>0</v>
      </c>
      <c r="G27" s="43">
        <f t="shared" si="2"/>
        <v>0</v>
      </c>
      <c r="I27" s="59">
        <f>VLOOKUP($A27,'Emission Tables'!$A$4:$N$20,12,FALSE)</f>
        <v>102.80631245100486</v>
      </c>
      <c r="J27" s="60">
        <f>VLOOKUP($A27,'Emission Tables'!$A$4:$N$20,13,FALSE)</f>
        <v>260.2691454455819</v>
      </c>
      <c r="K27" s="61">
        <f>VLOOKUP($A27,'Emission Tables'!$A$4:$N$20,14,FALSE)</f>
        <v>363.07545789658678</v>
      </c>
    </row>
    <row r="28" spans="1:11" s="30" customFormat="1" ht="14">
      <c r="A28" s="35">
        <v>15</v>
      </c>
      <c r="B28" s="53">
        <v>0</v>
      </c>
      <c r="C28" s="31">
        <v>0</v>
      </c>
      <c r="D28" s="29"/>
      <c r="E28" s="41">
        <f t="shared" si="0"/>
        <v>0</v>
      </c>
      <c r="F28" s="42">
        <f t="shared" si="1"/>
        <v>0</v>
      </c>
      <c r="G28" s="43">
        <f t="shared" si="2"/>
        <v>0</v>
      </c>
      <c r="I28" s="59">
        <f>VLOOKUP($A28,'Emission Tables'!$A$4:$N$20,12,FALSE)</f>
        <v>106.41355148437343</v>
      </c>
      <c r="J28" s="60">
        <f>VLOOKUP($A28,'Emission Tables'!$A$4:$N$20,13,FALSE)</f>
        <v>269.40139616297068</v>
      </c>
      <c r="K28" s="61">
        <f>VLOOKUP($A28,'Emission Tables'!$A$4:$N$20,14,FALSE)</f>
        <v>375.81494764734413</v>
      </c>
    </row>
    <row r="29" spans="1:11" s="30" customFormat="1" ht="14">
      <c r="A29" s="35">
        <v>16</v>
      </c>
      <c r="B29" s="53">
        <v>0</v>
      </c>
      <c r="C29" s="31">
        <v>0</v>
      </c>
      <c r="D29" s="29"/>
      <c r="E29" s="41">
        <f t="shared" si="0"/>
        <v>0</v>
      </c>
      <c r="F29" s="42">
        <f t="shared" si="1"/>
        <v>0</v>
      </c>
      <c r="G29" s="43">
        <f t="shared" si="2"/>
        <v>0</v>
      </c>
      <c r="I29" s="59">
        <f>VLOOKUP($A29,'Emission Tables'!$A$4:$N$20,12,FALSE)</f>
        <v>113.4589402214215</v>
      </c>
      <c r="J29" s="60">
        <f>VLOOKUP($A29,'Emission Tables'!$A$4:$N$20,13,FALSE)</f>
        <v>287.23782334537088</v>
      </c>
      <c r="K29" s="61">
        <f>VLOOKUP($A29,'Emission Tables'!$A$4:$N$20,14,FALSE)</f>
        <v>400.69676356679236</v>
      </c>
    </row>
    <row r="30" spans="1:11" s="30" customFormat="1" thickBot="1">
      <c r="A30" s="36">
        <v>17</v>
      </c>
      <c r="B30" s="55">
        <v>0</v>
      </c>
      <c r="C30" s="32">
        <v>0</v>
      </c>
      <c r="D30" s="29"/>
      <c r="E30" s="44">
        <f t="shared" si="0"/>
        <v>0</v>
      </c>
      <c r="F30" s="45">
        <f t="shared" si="1"/>
        <v>0</v>
      </c>
      <c r="G30" s="46">
        <f t="shared" si="2"/>
        <v>0</v>
      </c>
      <c r="I30" s="62">
        <f>VLOOKUP($A30,'Emission Tables'!$A$4:$N$20,12,FALSE)</f>
        <v>115.31892284800215</v>
      </c>
      <c r="J30" s="63">
        <f>VLOOKUP($A30,'Emission Tables'!$A$4:$N$20,13,FALSE)</f>
        <v>291.94664012152441</v>
      </c>
      <c r="K30" s="64">
        <f>VLOOKUP($A30,'Emission Tables'!$A$4:$N$20,14,FALSE)</f>
        <v>407.26556296952651</v>
      </c>
    </row>
    <row r="31" spans="1:11" ht="31" customHeight="1">
      <c r="A31" s="82" t="s">
        <v>43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</row>
    <row r="32" spans="1:11" s="30" customFormat="1" thickBot="1">
      <c r="A32" s="29"/>
      <c r="B32" s="29"/>
      <c r="C32" s="29"/>
      <c r="D32" s="29"/>
      <c r="E32" s="29"/>
      <c r="F32" s="29"/>
      <c r="G32" s="29"/>
    </row>
    <row r="33" spans="1:7" s="30" customFormat="1" ht="32" customHeight="1">
      <c r="A33" s="75" t="s">
        <v>37</v>
      </c>
      <c r="B33" s="75"/>
      <c r="C33" s="50"/>
      <c r="D33" s="29"/>
      <c r="E33" s="76" t="s">
        <v>36</v>
      </c>
      <c r="F33" s="77"/>
      <c r="G33" s="78"/>
    </row>
    <row r="34" spans="1:7" s="30" customFormat="1" ht="29" customHeight="1">
      <c r="A34" s="71">
        <f>SUM(B14:B30)</f>
        <v>0</v>
      </c>
      <c r="B34" s="71"/>
      <c r="C34" s="51"/>
      <c r="D34" s="29"/>
      <c r="E34" s="38" t="s">
        <v>33</v>
      </c>
      <c r="F34" s="39" t="s">
        <v>38</v>
      </c>
      <c r="G34" s="40" t="s">
        <v>39</v>
      </c>
    </row>
    <row r="35" spans="1:7" s="30" customFormat="1" ht="18" customHeight="1" thickBot="1">
      <c r="D35" s="37"/>
      <c r="E35" s="47">
        <f>SUM(E14:E30)</f>
        <v>0</v>
      </c>
      <c r="F35" s="48">
        <f>SUM(F14:F30)</f>
        <v>0</v>
      </c>
      <c r="G35" s="49">
        <f>SUM(G14:G30)</f>
        <v>0</v>
      </c>
    </row>
    <row r="36" spans="1:7" s="30" customFormat="1" ht="14">
      <c r="A36" s="29"/>
      <c r="B36" s="29"/>
      <c r="C36" s="29"/>
      <c r="D36" s="29"/>
      <c r="E36" s="29"/>
      <c r="F36" s="29"/>
      <c r="G36" s="29"/>
    </row>
  </sheetData>
  <sheetProtection password="CE90" sheet="1" objects="1" scenarios="1"/>
  <mergeCells count="19">
    <mergeCell ref="A9:B9"/>
    <mergeCell ref="A10:B10"/>
    <mergeCell ref="A34:B34"/>
    <mergeCell ref="I12:K12"/>
    <mergeCell ref="A33:B33"/>
    <mergeCell ref="E12:G12"/>
    <mergeCell ref="E33:G33"/>
    <mergeCell ref="A12:C12"/>
    <mergeCell ref="A31:K31"/>
    <mergeCell ref="C9:K9"/>
    <mergeCell ref="C10:K10"/>
    <mergeCell ref="A1:K1"/>
    <mergeCell ref="A2:K2"/>
    <mergeCell ref="A6:B6"/>
    <mergeCell ref="A7:B7"/>
    <mergeCell ref="A8:B8"/>
    <mergeCell ref="C8:K8"/>
    <mergeCell ref="C6:K6"/>
    <mergeCell ref="C7:K7"/>
  </mergeCells>
  <phoneticPr fontId="7" type="noConversion"/>
  <pageMargins left="0.25" right="0.25" top="0.5" bottom="0.25" header="0.5" footer="0.5"/>
  <pageSetup orientation="portrait" horizontalDpi="4294967292" verticalDpi="4294967292"/>
  <headerFooter>
    <oddFooter>&amp;L&amp;"Calibri,Regular"&amp;K000000&amp;G&amp;R&amp;"Calibri,Regular"&amp;8&amp;K000000Revision  date: November 16, 2017</oddFooter>
  </headerFooter>
  <ignoredErrors>
    <ignoredError sqref="I14:K30" emptyCellReference="1"/>
  </ignoredErrors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A33" sqref="A33"/>
    </sheetView>
  </sheetViews>
  <sheetFormatPr baseColWidth="10" defaultColWidth="8.83203125" defaultRowHeight="15" x14ac:dyDescent="0"/>
  <cols>
    <col min="1" max="1" width="19.5" style="17" customWidth="1"/>
    <col min="2" max="2" width="10.5" style="17" customWidth="1"/>
    <col min="3" max="3" width="7.5" style="17" customWidth="1"/>
    <col min="4" max="4" width="8.5" style="17" customWidth="1"/>
    <col min="5" max="5" width="8.83203125" customWidth="1"/>
    <col min="8" max="8" width="14.6640625" customWidth="1"/>
    <col min="9" max="9" width="10.83203125" customWidth="1"/>
    <col min="10" max="10" width="9.5" bestFit="1" customWidth="1"/>
    <col min="12" max="12" width="12.83203125" bestFit="1" customWidth="1"/>
    <col min="13" max="13" width="14.5" customWidth="1"/>
    <col min="14" max="14" width="13.83203125" customWidth="1"/>
  </cols>
  <sheetData>
    <row r="1" spans="1:14" s="4" customFormat="1">
      <c r="E1" s="5">
        <v>0.13</v>
      </c>
      <c r="F1" s="5">
        <v>0.3</v>
      </c>
      <c r="H1" s="6">
        <f>C28</f>
        <v>0.10662021622066019</v>
      </c>
      <c r="I1" s="6">
        <v>0.39500000000000002</v>
      </c>
      <c r="L1" s="7">
        <v>1000000</v>
      </c>
    </row>
    <row r="2" spans="1:14" s="8" customFormat="1" ht="48">
      <c r="E2" s="9" t="s">
        <v>7</v>
      </c>
      <c r="F2" s="9" t="s">
        <v>8</v>
      </c>
      <c r="H2" s="10" t="s">
        <v>9</v>
      </c>
      <c r="I2" s="10" t="s">
        <v>10</v>
      </c>
      <c r="J2" s="10" t="s">
        <v>11</v>
      </c>
      <c r="L2" s="11" t="s">
        <v>12</v>
      </c>
      <c r="M2" s="11" t="s">
        <v>13</v>
      </c>
      <c r="N2" s="11" t="s">
        <v>14</v>
      </c>
    </row>
    <row r="3" spans="1:14" s="15" customFormat="1" ht="25">
      <c r="A3" s="12" t="s">
        <v>6</v>
      </c>
      <c r="B3" s="4" t="s">
        <v>15</v>
      </c>
      <c r="C3" s="13" t="s">
        <v>16</v>
      </c>
      <c r="D3" s="13" t="s">
        <v>17</v>
      </c>
      <c r="E3" s="13" t="s">
        <v>18</v>
      </c>
      <c r="F3" s="14" t="s">
        <v>19</v>
      </c>
      <c r="G3" s="13" t="s">
        <v>20</v>
      </c>
      <c r="H3" s="10" t="s">
        <v>21</v>
      </c>
      <c r="I3" s="10"/>
      <c r="J3" s="10" t="s">
        <v>22</v>
      </c>
      <c r="K3" s="10" t="s">
        <v>23</v>
      </c>
      <c r="L3" s="11" t="s">
        <v>24</v>
      </c>
      <c r="M3" s="11" t="s">
        <v>24</v>
      </c>
      <c r="N3" s="11" t="s">
        <v>24</v>
      </c>
    </row>
    <row r="4" spans="1:14">
      <c r="A4" s="16">
        <v>1</v>
      </c>
      <c r="B4" s="17">
        <v>65</v>
      </c>
      <c r="C4" s="18">
        <v>0.2</v>
      </c>
      <c r="D4" s="19">
        <v>14.5</v>
      </c>
      <c r="E4" s="20">
        <f>D4*(1-$E$1)</f>
        <v>12.615</v>
      </c>
      <c r="F4" s="21">
        <f>E4*$F$1</f>
        <v>3.7845</v>
      </c>
      <c r="G4" s="21">
        <f>C4*D4*$F$1/6.25</f>
        <v>0.13920000000000002</v>
      </c>
      <c r="H4" s="22">
        <f>G4*$H$1</f>
        <v>1.4841534097915899E-2</v>
      </c>
      <c r="I4" s="22"/>
      <c r="J4" s="22">
        <f>H4/$I$1</f>
        <v>3.7573504045356705E-2</v>
      </c>
      <c r="K4" s="22">
        <f>H4+J4</f>
        <v>5.2415038143272606E-2</v>
      </c>
      <c r="L4" s="23">
        <f>H4*$L$1/454</f>
        <v>32.690603739902862</v>
      </c>
      <c r="M4" s="23">
        <f>J4*$L$1/454</f>
        <v>82.761022126336357</v>
      </c>
      <c r="N4" s="23">
        <f>K4*$L$1/454</f>
        <v>115.45162586623923</v>
      </c>
    </row>
    <row r="5" spans="1:14">
      <c r="A5" s="16">
        <v>2</v>
      </c>
      <c r="B5" s="17">
        <v>114.99999999999999</v>
      </c>
      <c r="C5" s="18">
        <v>0.2</v>
      </c>
      <c r="D5" s="19">
        <v>16.5</v>
      </c>
      <c r="E5" s="20">
        <f t="shared" ref="E5:E20" si="0">D5*(1-$E$1)</f>
        <v>14.355</v>
      </c>
      <c r="F5" s="21">
        <f t="shared" ref="F5:F20" si="1">E5*$F$1</f>
        <v>4.3064999999999998</v>
      </c>
      <c r="G5" s="21">
        <f t="shared" ref="G5:G20" si="2">C5*D5*$F$1/6.25</f>
        <v>0.15839999999999999</v>
      </c>
      <c r="H5" s="22">
        <f t="shared" ref="H5:H20" si="3">G5*$H$1</f>
        <v>1.6888642249352572E-2</v>
      </c>
      <c r="I5" s="22"/>
      <c r="J5" s="22">
        <f t="shared" ref="J5:J20" si="4">H5/$I$1</f>
        <v>4.2756056327474867E-2</v>
      </c>
      <c r="K5" s="22">
        <f t="shared" ref="K5:K20" si="5">H5+J5</f>
        <v>5.9644698576827443E-2</v>
      </c>
      <c r="L5" s="23">
        <f t="shared" ref="L5:L20" si="6">H5*$L$1/454</f>
        <v>37.199652531613594</v>
      </c>
      <c r="M5" s="23">
        <f t="shared" ref="M5:N20" si="7">J5*$L$1/454</f>
        <v>94.176335523072382</v>
      </c>
      <c r="N5" s="23">
        <f t="shared" si="7"/>
        <v>131.37598805468602</v>
      </c>
    </row>
    <row r="6" spans="1:14">
      <c r="A6" s="16">
        <v>3</v>
      </c>
      <c r="B6" s="17">
        <v>175</v>
      </c>
      <c r="C6" s="18">
        <v>0.2</v>
      </c>
      <c r="D6" s="19">
        <v>19</v>
      </c>
      <c r="E6" s="20">
        <f t="shared" si="0"/>
        <v>16.53</v>
      </c>
      <c r="F6" s="21">
        <f t="shared" si="1"/>
        <v>4.9590000000000005</v>
      </c>
      <c r="G6" s="21">
        <f t="shared" si="2"/>
        <v>0.18240000000000001</v>
      </c>
      <c r="H6" s="22">
        <f t="shared" si="3"/>
        <v>1.9447527438648419E-2</v>
      </c>
      <c r="I6" s="22"/>
      <c r="J6" s="22">
        <f t="shared" si="4"/>
        <v>4.9234246680122579E-2</v>
      </c>
      <c r="K6" s="22">
        <f t="shared" si="5"/>
        <v>6.8681774118770994E-2</v>
      </c>
      <c r="L6" s="23">
        <f t="shared" si="6"/>
        <v>42.835963521252026</v>
      </c>
      <c r="M6" s="23">
        <f t="shared" si="7"/>
        <v>108.44547726899248</v>
      </c>
      <c r="N6" s="23">
        <f t="shared" si="7"/>
        <v>151.28144079024446</v>
      </c>
    </row>
    <row r="7" spans="1:14">
      <c r="A7" s="16">
        <v>4</v>
      </c>
      <c r="B7" s="17">
        <v>255</v>
      </c>
      <c r="C7" s="18">
        <v>0.1825</v>
      </c>
      <c r="D7" s="19">
        <v>30</v>
      </c>
      <c r="E7" s="20">
        <f t="shared" si="0"/>
        <v>26.1</v>
      </c>
      <c r="F7" s="21">
        <f t="shared" si="1"/>
        <v>7.83</v>
      </c>
      <c r="G7" s="21">
        <f t="shared" si="2"/>
        <v>0.26279999999999998</v>
      </c>
      <c r="H7" s="22">
        <f t="shared" si="3"/>
        <v>2.8019792822789494E-2</v>
      </c>
      <c r="I7" s="22"/>
      <c r="J7" s="22">
        <f t="shared" si="4"/>
        <v>7.0936184361492391E-2</v>
      </c>
      <c r="K7" s="22">
        <f t="shared" si="5"/>
        <v>9.8955977184281882E-2</v>
      </c>
      <c r="L7" s="23">
        <f t="shared" si="6"/>
        <v>61.717605336540736</v>
      </c>
      <c r="M7" s="23">
        <f t="shared" si="7"/>
        <v>156.24710211782462</v>
      </c>
      <c r="N7" s="23">
        <f t="shared" si="7"/>
        <v>217.9647074543654</v>
      </c>
    </row>
    <row r="8" spans="1:14">
      <c r="A8" s="16">
        <v>5</v>
      </c>
      <c r="B8" s="17">
        <v>330</v>
      </c>
      <c r="C8" s="18">
        <v>0.1825</v>
      </c>
      <c r="D8" s="19">
        <v>39</v>
      </c>
      <c r="E8" s="20">
        <f t="shared" si="0"/>
        <v>33.93</v>
      </c>
      <c r="F8" s="21">
        <f t="shared" si="1"/>
        <v>10.179</v>
      </c>
      <c r="G8" s="21">
        <f t="shared" si="2"/>
        <v>0.34163999999999994</v>
      </c>
      <c r="H8" s="22">
        <f t="shared" si="3"/>
        <v>3.6425730669626344E-2</v>
      </c>
      <c r="I8" s="22"/>
      <c r="J8" s="22">
        <f t="shared" si="4"/>
        <v>9.2217039669940104E-2</v>
      </c>
      <c r="K8" s="22">
        <f t="shared" si="5"/>
        <v>0.12864277033956645</v>
      </c>
      <c r="L8" s="23">
        <f t="shared" si="6"/>
        <v>80.232886937502954</v>
      </c>
      <c r="M8" s="23">
        <f t="shared" si="7"/>
        <v>203.12123275317202</v>
      </c>
      <c r="N8" s="23">
        <f t="shared" si="7"/>
        <v>283.35411969067496</v>
      </c>
    </row>
    <row r="9" spans="1:14">
      <c r="A9" s="16">
        <v>6</v>
      </c>
      <c r="B9" s="17">
        <v>420</v>
      </c>
      <c r="C9" s="18">
        <v>0.1825</v>
      </c>
      <c r="D9" s="19">
        <v>42</v>
      </c>
      <c r="E9" s="20">
        <f t="shared" si="0"/>
        <v>36.54</v>
      </c>
      <c r="F9" s="21">
        <f t="shared" si="1"/>
        <v>10.962</v>
      </c>
      <c r="G9" s="21">
        <f t="shared" si="2"/>
        <v>0.36792000000000002</v>
      </c>
      <c r="H9" s="22">
        <f t="shared" si="3"/>
        <v>3.9227709951905297E-2</v>
      </c>
      <c r="I9" s="22"/>
      <c r="J9" s="22">
        <f t="shared" si="4"/>
        <v>9.9310658106089356E-2</v>
      </c>
      <c r="K9" s="22">
        <f t="shared" si="5"/>
        <v>0.13853836805799466</v>
      </c>
      <c r="L9" s="23">
        <f t="shared" si="6"/>
        <v>86.404647471157034</v>
      </c>
      <c r="M9" s="23">
        <f t="shared" si="7"/>
        <v>218.74594296495451</v>
      </c>
      <c r="N9" s="23">
        <f t="shared" si="7"/>
        <v>305.1505904361116</v>
      </c>
    </row>
    <row r="10" spans="1:14">
      <c r="A10" s="16">
        <v>7</v>
      </c>
      <c r="B10" s="17">
        <v>510</v>
      </c>
      <c r="C10" s="18">
        <v>0.17499999999999999</v>
      </c>
      <c r="D10" s="19">
        <v>43</v>
      </c>
      <c r="E10" s="20">
        <f t="shared" si="0"/>
        <v>37.409999999999997</v>
      </c>
      <c r="F10" s="21">
        <f t="shared" si="1"/>
        <v>11.222999999999999</v>
      </c>
      <c r="G10" s="21">
        <f t="shared" si="2"/>
        <v>0.36119999999999997</v>
      </c>
      <c r="H10" s="22">
        <f t="shared" si="3"/>
        <v>3.8511222098902453E-2</v>
      </c>
      <c r="I10" s="22"/>
      <c r="J10" s="22">
        <f t="shared" si="4"/>
        <v>9.749676480734798E-2</v>
      </c>
      <c r="K10" s="22">
        <f t="shared" si="5"/>
        <v>0.13600798690625043</v>
      </c>
      <c r="L10" s="23">
        <f t="shared" si="6"/>
        <v>84.826480394058265</v>
      </c>
      <c r="M10" s="23">
        <f t="shared" si="7"/>
        <v>214.75058327609688</v>
      </c>
      <c r="N10" s="23">
        <f t="shared" si="7"/>
        <v>299.57706367015516</v>
      </c>
    </row>
    <row r="11" spans="1:14">
      <c r="A11" s="16">
        <v>8</v>
      </c>
      <c r="B11" s="17">
        <v>600</v>
      </c>
      <c r="C11" s="18">
        <v>0.17499999999999999</v>
      </c>
      <c r="D11" s="19">
        <v>46</v>
      </c>
      <c r="E11" s="20">
        <f t="shared" si="0"/>
        <v>40.020000000000003</v>
      </c>
      <c r="F11" s="21">
        <f t="shared" si="1"/>
        <v>12.006</v>
      </c>
      <c r="G11" s="21">
        <f t="shared" si="2"/>
        <v>0.38639999999999991</v>
      </c>
      <c r="H11" s="22">
        <f t="shared" si="3"/>
        <v>4.1198051547663088E-2</v>
      </c>
      <c r="I11" s="22"/>
      <c r="J11" s="22">
        <f t="shared" si="4"/>
        <v>0.10429886467762807</v>
      </c>
      <c r="K11" s="22">
        <f t="shared" si="5"/>
        <v>0.14549691622529115</v>
      </c>
      <c r="L11" s="23">
        <f t="shared" si="6"/>
        <v>90.744606933178616</v>
      </c>
      <c r="M11" s="23">
        <f t="shared" si="7"/>
        <v>229.73318210931291</v>
      </c>
      <c r="N11" s="23">
        <f t="shared" si="7"/>
        <v>320.47778904249151</v>
      </c>
    </row>
    <row r="12" spans="1:14">
      <c r="A12" s="16">
        <v>9</v>
      </c>
      <c r="B12" s="17">
        <v>690</v>
      </c>
      <c r="C12" s="18">
        <v>0.17499999999999999</v>
      </c>
      <c r="D12" s="19">
        <v>48</v>
      </c>
      <c r="E12" s="20">
        <f t="shared" si="0"/>
        <v>41.76</v>
      </c>
      <c r="F12" s="21">
        <f t="shared" si="1"/>
        <v>12.527999999999999</v>
      </c>
      <c r="G12" s="21">
        <f t="shared" si="2"/>
        <v>0.40319999999999995</v>
      </c>
      <c r="H12" s="22">
        <f t="shared" si="3"/>
        <v>4.298927118017018E-2</v>
      </c>
      <c r="I12" s="22"/>
      <c r="J12" s="22">
        <f t="shared" si="4"/>
        <v>0.10883359792448147</v>
      </c>
      <c r="K12" s="22">
        <f t="shared" si="5"/>
        <v>0.15182286910465165</v>
      </c>
      <c r="L12" s="23">
        <f t="shared" si="6"/>
        <v>94.690024625925503</v>
      </c>
      <c r="M12" s="23">
        <f t="shared" si="7"/>
        <v>239.72158133145697</v>
      </c>
      <c r="N12" s="23">
        <f t="shared" si="7"/>
        <v>334.41160595738251</v>
      </c>
    </row>
    <row r="13" spans="1:14">
      <c r="A13" s="16">
        <v>10</v>
      </c>
      <c r="B13" s="17">
        <v>790</v>
      </c>
      <c r="C13" s="18">
        <v>0.17499999999999999</v>
      </c>
      <c r="D13" s="19">
        <v>51</v>
      </c>
      <c r="E13" s="20">
        <f t="shared" si="0"/>
        <v>44.37</v>
      </c>
      <c r="F13" s="21">
        <f t="shared" si="1"/>
        <v>13.310999999999998</v>
      </c>
      <c r="G13" s="21">
        <f t="shared" si="2"/>
        <v>0.42839999999999995</v>
      </c>
      <c r="H13" s="22">
        <f t="shared" si="3"/>
        <v>4.5676100628930821E-2</v>
      </c>
      <c r="I13" s="22"/>
      <c r="J13" s="22">
        <f t="shared" si="4"/>
        <v>0.11563569779476157</v>
      </c>
      <c r="K13" s="22">
        <f t="shared" si="5"/>
        <v>0.16131179842369239</v>
      </c>
      <c r="L13" s="23">
        <f t="shared" si="6"/>
        <v>100.60815116504585</v>
      </c>
      <c r="M13" s="23">
        <f t="shared" si="7"/>
        <v>254.70418016467306</v>
      </c>
      <c r="N13" s="23">
        <f t="shared" si="7"/>
        <v>355.31233132971892</v>
      </c>
    </row>
    <row r="14" spans="1:14">
      <c r="A14" s="16">
        <v>11</v>
      </c>
      <c r="B14" s="17">
        <v>880</v>
      </c>
      <c r="C14" s="18">
        <v>0.17499999999999999</v>
      </c>
      <c r="D14" s="19">
        <v>53</v>
      </c>
      <c r="E14" s="20">
        <f t="shared" si="0"/>
        <v>46.11</v>
      </c>
      <c r="F14" s="21">
        <f t="shared" si="1"/>
        <v>13.833</v>
      </c>
      <c r="G14" s="21">
        <f t="shared" si="2"/>
        <v>0.44519999999999987</v>
      </c>
      <c r="H14" s="22">
        <f t="shared" si="3"/>
        <v>4.7467320261437899E-2</v>
      </c>
      <c r="I14" s="22"/>
      <c r="J14" s="22">
        <f t="shared" si="4"/>
        <v>0.12017043104161493</v>
      </c>
      <c r="K14" s="22">
        <f t="shared" si="5"/>
        <v>0.16763775130305283</v>
      </c>
      <c r="L14" s="23">
        <f t="shared" si="6"/>
        <v>104.55356885779273</v>
      </c>
      <c r="M14" s="23">
        <f t="shared" si="7"/>
        <v>264.69257938681699</v>
      </c>
      <c r="N14" s="23">
        <f t="shared" si="7"/>
        <v>369.24614824460974</v>
      </c>
    </row>
    <row r="15" spans="1:14">
      <c r="A15" s="16">
        <v>12</v>
      </c>
      <c r="B15" s="17">
        <v>960</v>
      </c>
      <c r="C15" s="18">
        <v>0.17499999999999999</v>
      </c>
      <c r="D15" s="19">
        <v>54</v>
      </c>
      <c r="E15" s="20">
        <f t="shared" si="0"/>
        <v>46.98</v>
      </c>
      <c r="F15" s="21">
        <f t="shared" si="1"/>
        <v>14.093999999999999</v>
      </c>
      <c r="G15" s="21">
        <f t="shared" si="2"/>
        <v>0.45359999999999995</v>
      </c>
      <c r="H15" s="22">
        <f t="shared" si="3"/>
        <v>4.8362930077691456E-2</v>
      </c>
      <c r="I15" s="22"/>
      <c r="J15" s="22">
        <f t="shared" si="4"/>
        <v>0.12243779766504166</v>
      </c>
      <c r="K15" s="22">
        <f t="shared" si="5"/>
        <v>0.17080072774273311</v>
      </c>
      <c r="L15" s="23">
        <f t="shared" si="6"/>
        <v>106.52627770416619</v>
      </c>
      <c r="M15" s="23">
        <f t="shared" si="7"/>
        <v>269.68677899788912</v>
      </c>
      <c r="N15" s="23">
        <f t="shared" si="7"/>
        <v>376.21305670205533</v>
      </c>
    </row>
    <row r="16" spans="1:14">
      <c r="A16" s="16">
        <v>13</v>
      </c>
      <c r="B16" s="17">
        <v>1030</v>
      </c>
      <c r="C16" s="18">
        <v>0.16</v>
      </c>
      <c r="D16" s="19">
        <v>56</v>
      </c>
      <c r="E16" s="20">
        <f t="shared" si="0"/>
        <v>48.72</v>
      </c>
      <c r="F16" s="21">
        <f t="shared" si="1"/>
        <v>14.616</v>
      </c>
      <c r="G16" s="21">
        <f t="shared" si="2"/>
        <v>0.43008000000000002</v>
      </c>
      <c r="H16" s="22">
        <f t="shared" si="3"/>
        <v>4.5855222592181534E-2</v>
      </c>
      <c r="I16" s="22"/>
      <c r="J16" s="22">
        <f t="shared" si="4"/>
        <v>0.11608917111944692</v>
      </c>
      <c r="K16" s="22">
        <f t="shared" si="5"/>
        <v>0.16194439371162844</v>
      </c>
      <c r="L16" s="23">
        <f t="shared" si="6"/>
        <v>101.00269293432056</v>
      </c>
      <c r="M16" s="23">
        <f t="shared" si="7"/>
        <v>255.70302008688748</v>
      </c>
      <c r="N16" s="23">
        <f t="shared" si="7"/>
        <v>356.70571302120806</v>
      </c>
    </row>
    <row r="17" spans="1:14">
      <c r="A17" s="16">
        <v>14</v>
      </c>
      <c r="B17" s="17">
        <v>1105</v>
      </c>
      <c r="C17" s="18">
        <v>0.16</v>
      </c>
      <c r="D17" s="19">
        <v>57</v>
      </c>
      <c r="E17" s="20">
        <f t="shared" si="0"/>
        <v>49.589999999999996</v>
      </c>
      <c r="F17" s="21">
        <f t="shared" si="1"/>
        <v>14.876999999999999</v>
      </c>
      <c r="G17" s="21">
        <f t="shared" si="2"/>
        <v>0.43776000000000004</v>
      </c>
      <c r="H17" s="22">
        <f t="shared" si="3"/>
        <v>4.6674065852756207E-2</v>
      </c>
      <c r="I17" s="22"/>
      <c r="J17" s="22">
        <f t="shared" si="4"/>
        <v>0.11816219203229419</v>
      </c>
      <c r="K17" s="22">
        <f t="shared" si="5"/>
        <v>0.16483625788505041</v>
      </c>
      <c r="L17" s="23">
        <f t="shared" si="6"/>
        <v>102.80631245100486</v>
      </c>
      <c r="M17" s="23">
        <f t="shared" si="7"/>
        <v>260.2691454455819</v>
      </c>
      <c r="N17" s="23">
        <f t="shared" si="7"/>
        <v>363.07545789658678</v>
      </c>
    </row>
    <row r="18" spans="1:14">
      <c r="A18" s="16">
        <v>15</v>
      </c>
      <c r="B18" s="17">
        <v>1170</v>
      </c>
      <c r="C18" s="18">
        <v>0.16</v>
      </c>
      <c r="D18" s="19">
        <v>59</v>
      </c>
      <c r="E18" s="20">
        <f t="shared" si="0"/>
        <v>51.33</v>
      </c>
      <c r="F18" s="21">
        <f t="shared" si="1"/>
        <v>15.398999999999999</v>
      </c>
      <c r="G18" s="21">
        <f t="shared" si="2"/>
        <v>0.45311999999999997</v>
      </c>
      <c r="H18" s="22">
        <f t="shared" si="3"/>
        <v>4.8311752373905538E-2</v>
      </c>
      <c r="I18" s="22"/>
      <c r="J18" s="22">
        <f t="shared" si="4"/>
        <v>0.1223082338579887</v>
      </c>
      <c r="K18" s="22">
        <f t="shared" si="5"/>
        <v>0.17061998623189423</v>
      </c>
      <c r="L18" s="23">
        <f t="shared" si="6"/>
        <v>106.41355148437343</v>
      </c>
      <c r="M18" s="23">
        <f t="shared" si="7"/>
        <v>269.40139616297068</v>
      </c>
      <c r="N18" s="23">
        <f t="shared" si="7"/>
        <v>375.81494764734413</v>
      </c>
    </row>
    <row r="19" spans="1:14">
      <c r="A19" s="16">
        <v>16</v>
      </c>
      <c r="B19" s="17">
        <v>1210</v>
      </c>
      <c r="C19" s="18">
        <v>0.16500000000000001</v>
      </c>
      <c r="D19" s="19">
        <v>61</v>
      </c>
      <c r="E19" s="20">
        <f t="shared" si="0"/>
        <v>53.07</v>
      </c>
      <c r="F19" s="21">
        <f t="shared" si="1"/>
        <v>15.920999999999999</v>
      </c>
      <c r="G19" s="21">
        <f t="shared" si="2"/>
        <v>0.48312000000000005</v>
      </c>
      <c r="H19" s="22">
        <f t="shared" si="3"/>
        <v>5.1510358860525358E-2</v>
      </c>
      <c r="I19" s="22"/>
      <c r="J19" s="22">
        <f t="shared" si="4"/>
        <v>0.13040597179879837</v>
      </c>
      <c r="K19" s="22">
        <f t="shared" si="5"/>
        <v>0.18191633065932372</v>
      </c>
      <c r="L19" s="23">
        <f t="shared" si="6"/>
        <v>113.4589402214215</v>
      </c>
      <c r="M19" s="23">
        <f t="shared" si="7"/>
        <v>287.23782334537088</v>
      </c>
      <c r="N19" s="23">
        <f t="shared" si="7"/>
        <v>400.69676356679236</v>
      </c>
    </row>
    <row r="20" spans="1:14">
      <c r="A20" s="16">
        <v>17</v>
      </c>
      <c r="B20" s="17">
        <v>1250</v>
      </c>
      <c r="C20" s="18">
        <v>0.16500000000000001</v>
      </c>
      <c r="D20" s="19">
        <v>62</v>
      </c>
      <c r="E20" s="20">
        <f t="shared" si="0"/>
        <v>53.94</v>
      </c>
      <c r="F20" s="21">
        <f t="shared" si="1"/>
        <v>16.181999999999999</v>
      </c>
      <c r="G20" s="21">
        <f t="shared" si="2"/>
        <v>0.49103999999999998</v>
      </c>
      <c r="H20" s="22">
        <f t="shared" si="3"/>
        <v>5.2354790972992976E-2</v>
      </c>
      <c r="I20" s="22"/>
      <c r="J20" s="22">
        <f t="shared" si="4"/>
        <v>0.13254377461517208</v>
      </c>
      <c r="K20" s="22">
        <f t="shared" si="5"/>
        <v>0.18489856558816506</v>
      </c>
      <c r="L20" s="23">
        <f t="shared" si="6"/>
        <v>115.31892284800215</v>
      </c>
      <c r="M20" s="23">
        <f t="shared" si="7"/>
        <v>291.94664012152441</v>
      </c>
      <c r="N20" s="23">
        <f t="shared" si="7"/>
        <v>407.26556296952651</v>
      </c>
    </row>
    <row r="22" spans="1:14">
      <c r="A22" s="24" t="s">
        <v>25</v>
      </c>
    </row>
    <row r="24" spans="1:14">
      <c r="A24" s="25" t="s">
        <v>26</v>
      </c>
      <c r="C24" s="26" t="s">
        <v>27</v>
      </c>
      <c r="D24" s="26"/>
    </row>
    <row r="25" spans="1:14">
      <c r="A25" s="25" t="s">
        <v>28</v>
      </c>
      <c r="C25" s="17">
        <v>106</v>
      </c>
      <c r="D25" s="26" t="s">
        <v>11</v>
      </c>
    </row>
    <row r="26" spans="1:14">
      <c r="A26" s="25" t="s">
        <v>20</v>
      </c>
      <c r="C26" s="17">
        <f>C25*0.3*15.3%/6.25</f>
        <v>0.77846399999999993</v>
      </c>
    </row>
    <row r="27" spans="1:14">
      <c r="A27" s="25" t="s">
        <v>29</v>
      </c>
      <c r="C27" s="17">
        <v>8.3000000000000004E-2</v>
      </c>
    </row>
    <row r="28" spans="1:14">
      <c r="A28" s="26" t="s">
        <v>30</v>
      </c>
      <c r="C28" s="27">
        <f>C27/C26</f>
        <v>0.10662021622066019</v>
      </c>
    </row>
    <row r="29" spans="1:14">
      <c r="A29" s="24" t="s">
        <v>31</v>
      </c>
      <c r="C29" s="17">
        <v>0.21</v>
      </c>
    </row>
    <row r="30" spans="1:14">
      <c r="A30" s="26" t="s">
        <v>32</v>
      </c>
      <c r="C30" s="17">
        <f>C27/C29</f>
        <v>0.39523809523809528</v>
      </c>
    </row>
    <row r="34" spans="9:9" customFormat="1">
      <c r="I34" s="28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USER</vt:lpstr>
      <vt:lpstr>Emission Tables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</dc:creator>
  <cp:lastModifiedBy>Maro</cp:lastModifiedBy>
  <cp:lastPrinted>2017-11-09T22:58:10Z</cp:lastPrinted>
  <dcterms:created xsi:type="dcterms:W3CDTF">2017-05-15T20:56:17Z</dcterms:created>
  <dcterms:modified xsi:type="dcterms:W3CDTF">2017-11-17T15:00:51Z</dcterms:modified>
</cp:coreProperties>
</file>