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613"/>
  <workbookPr showInkAnnotation="0" autoCompressPictures="0"/>
  <workbookProtection workbookPassword="CE90" lockStructure="1"/>
  <bookViews>
    <workbookView xWindow="240" yWindow="240" windowWidth="25360" windowHeight="15820" tabRatio="500"/>
  </bookViews>
  <sheets>
    <sheet name="Pullet (daily remove + 1 wk MS)" sheetId="1" r:id="rId1"/>
    <sheet name="Emission Tables &amp; calc" sheetId="2" state="hidden" r:id="rId2"/>
  </sheets>
  <definedNames>
    <definedName name="_xlnm.Print_Area" localSheetId="0">'Pullet (daily remove + 1 wk MS)'!$A$1:$J$35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4" i="2"/>
  <c r="H1" i="2"/>
  <c r="C26" i="2"/>
  <c r="C28" i="2"/>
  <c r="K30" i="2"/>
  <c r="E4" i="2"/>
  <c r="F4" i="2"/>
  <c r="K25" i="2"/>
  <c r="K31" i="2"/>
  <c r="K33" i="2"/>
  <c r="C35" i="2"/>
  <c r="K34" i="2"/>
  <c r="K35" i="2"/>
  <c r="K32" i="2"/>
  <c r="AA30" i="2"/>
  <c r="E20" i="2"/>
  <c r="F20" i="2"/>
  <c r="AA25" i="2"/>
  <c r="AA31" i="2"/>
  <c r="AA32" i="2"/>
  <c r="AA34" i="2"/>
  <c r="AA39" i="2"/>
  <c r="Q20" i="2"/>
  <c r="AA33" i="2"/>
  <c r="AA38" i="2"/>
  <c r="R20" i="2"/>
  <c r="S20" i="2"/>
  <c r="J30" i="1"/>
  <c r="I30" i="1"/>
  <c r="H30" i="1"/>
  <c r="E19" i="2"/>
  <c r="F19" i="2"/>
  <c r="Z34" i="2"/>
  <c r="Z39" i="2"/>
  <c r="Q19" i="2"/>
  <c r="Z30" i="2"/>
  <c r="Z25" i="2"/>
  <c r="Z31" i="2"/>
  <c r="Z33" i="2"/>
  <c r="Z38" i="2"/>
  <c r="R19" i="2"/>
  <c r="S19" i="2"/>
  <c r="J29" i="1"/>
  <c r="I29" i="1"/>
  <c r="H29" i="1"/>
  <c r="E18" i="2"/>
  <c r="F18" i="2"/>
  <c r="Y34" i="2"/>
  <c r="Y39" i="2"/>
  <c r="Q18" i="2"/>
  <c r="Y30" i="2"/>
  <c r="Y25" i="2"/>
  <c r="Y31" i="2"/>
  <c r="Y33" i="2"/>
  <c r="Y38" i="2"/>
  <c r="R18" i="2"/>
  <c r="S18" i="2"/>
  <c r="J28" i="1"/>
  <c r="I28" i="1"/>
  <c r="H28" i="1"/>
  <c r="E17" i="2"/>
  <c r="F17" i="2"/>
  <c r="X34" i="2"/>
  <c r="X39" i="2"/>
  <c r="Q17" i="2"/>
  <c r="X30" i="2"/>
  <c r="X25" i="2"/>
  <c r="X31" i="2"/>
  <c r="X33" i="2"/>
  <c r="X38" i="2"/>
  <c r="R17" i="2"/>
  <c r="S17" i="2"/>
  <c r="J27" i="1"/>
  <c r="I27" i="1"/>
  <c r="H27" i="1"/>
  <c r="E16" i="2"/>
  <c r="F16" i="2"/>
  <c r="W34" i="2"/>
  <c r="W39" i="2"/>
  <c r="Q16" i="2"/>
  <c r="W30" i="2"/>
  <c r="W25" i="2"/>
  <c r="W31" i="2"/>
  <c r="W33" i="2"/>
  <c r="W38" i="2"/>
  <c r="R16" i="2"/>
  <c r="S16" i="2"/>
  <c r="J26" i="1"/>
  <c r="I26" i="1"/>
  <c r="H26" i="1"/>
  <c r="E15" i="2"/>
  <c r="F15" i="2"/>
  <c r="V34" i="2"/>
  <c r="V39" i="2"/>
  <c r="Q15" i="2"/>
  <c r="V30" i="2"/>
  <c r="V25" i="2"/>
  <c r="V31" i="2"/>
  <c r="V33" i="2"/>
  <c r="V38" i="2"/>
  <c r="R15" i="2"/>
  <c r="S15" i="2"/>
  <c r="J25" i="1"/>
  <c r="I25" i="1"/>
  <c r="H25" i="1"/>
  <c r="E14" i="2"/>
  <c r="F14" i="2"/>
  <c r="U34" i="2"/>
  <c r="U39" i="2"/>
  <c r="Q14" i="2"/>
  <c r="U30" i="2"/>
  <c r="U25" i="2"/>
  <c r="U31" i="2"/>
  <c r="U33" i="2"/>
  <c r="U38" i="2"/>
  <c r="R14" i="2"/>
  <c r="S14" i="2"/>
  <c r="J24" i="1"/>
  <c r="I24" i="1"/>
  <c r="H24" i="1"/>
  <c r="E13" i="2"/>
  <c r="F13" i="2"/>
  <c r="T34" i="2"/>
  <c r="T39" i="2"/>
  <c r="Q13" i="2"/>
  <c r="T30" i="2"/>
  <c r="T25" i="2"/>
  <c r="T31" i="2"/>
  <c r="T33" i="2"/>
  <c r="T38" i="2"/>
  <c r="R13" i="2"/>
  <c r="S13" i="2"/>
  <c r="J23" i="1"/>
  <c r="I23" i="1"/>
  <c r="H23" i="1"/>
  <c r="E12" i="2"/>
  <c r="F12" i="2"/>
  <c r="S34" i="2"/>
  <c r="S39" i="2"/>
  <c r="Q12" i="2"/>
  <c r="S30" i="2"/>
  <c r="S25" i="2"/>
  <c r="S31" i="2"/>
  <c r="S33" i="2"/>
  <c r="S38" i="2"/>
  <c r="R12" i="2"/>
  <c r="S12" i="2"/>
  <c r="J22" i="1"/>
  <c r="I22" i="1"/>
  <c r="H22" i="1"/>
  <c r="E11" i="2"/>
  <c r="F11" i="2"/>
  <c r="R34" i="2"/>
  <c r="R39" i="2"/>
  <c r="Q11" i="2"/>
  <c r="R30" i="2"/>
  <c r="R25" i="2"/>
  <c r="R31" i="2"/>
  <c r="R33" i="2"/>
  <c r="R38" i="2"/>
  <c r="R11" i="2"/>
  <c r="S11" i="2"/>
  <c r="J21" i="1"/>
  <c r="I21" i="1"/>
  <c r="H21" i="1"/>
  <c r="E10" i="2"/>
  <c r="F10" i="2"/>
  <c r="Q34" i="2"/>
  <c r="Q39" i="2"/>
  <c r="Q10" i="2"/>
  <c r="Q30" i="2"/>
  <c r="Q25" i="2"/>
  <c r="Q31" i="2"/>
  <c r="Q33" i="2"/>
  <c r="Q38" i="2"/>
  <c r="R10" i="2"/>
  <c r="S10" i="2"/>
  <c r="J20" i="1"/>
  <c r="I20" i="1"/>
  <c r="H20" i="1"/>
  <c r="E9" i="2"/>
  <c r="F9" i="2"/>
  <c r="P34" i="2"/>
  <c r="P39" i="2"/>
  <c r="Q9" i="2"/>
  <c r="P30" i="2"/>
  <c r="P25" i="2"/>
  <c r="P31" i="2"/>
  <c r="P33" i="2"/>
  <c r="P38" i="2"/>
  <c r="R9" i="2"/>
  <c r="S9" i="2"/>
  <c r="J19" i="1"/>
  <c r="I19" i="1"/>
  <c r="H19" i="1"/>
  <c r="E8" i="2"/>
  <c r="F8" i="2"/>
  <c r="O34" i="2"/>
  <c r="O39" i="2"/>
  <c r="Q8" i="2"/>
  <c r="O30" i="2"/>
  <c r="O25" i="2"/>
  <c r="O31" i="2"/>
  <c r="O33" i="2"/>
  <c r="O38" i="2"/>
  <c r="R8" i="2"/>
  <c r="S8" i="2"/>
  <c r="J18" i="1"/>
  <c r="I18" i="1"/>
  <c r="H18" i="1"/>
  <c r="E7" i="2"/>
  <c r="F7" i="2"/>
  <c r="N34" i="2"/>
  <c r="N39" i="2"/>
  <c r="Q7" i="2"/>
  <c r="N30" i="2"/>
  <c r="N25" i="2"/>
  <c r="N31" i="2"/>
  <c r="N33" i="2"/>
  <c r="N38" i="2"/>
  <c r="R7" i="2"/>
  <c r="S7" i="2"/>
  <c r="J17" i="1"/>
  <c r="I17" i="1"/>
  <c r="H17" i="1"/>
  <c r="E6" i="2"/>
  <c r="F6" i="2"/>
  <c r="M34" i="2"/>
  <c r="M39" i="2"/>
  <c r="Q6" i="2"/>
  <c r="M30" i="2"/>
  <c r="M25" i="2"/>
  <c r="M31" i="2"/>
  <c r="M33" i="2"/>
  <c r="M38" i="2"/>
  <c r="R6" i="2"/>
  <c r="S6" i="2"/>
  <c r="J16" i="1"/>
  <c r="I16" i="1"/>
  <c r="H16" i="1"/>
  <c r="E5" i="2"/>
  <c r="F5" i="2"/>
  <c r="L34" i="2"/>
  <c r="L39" i="2"/>
  <c r="Q5" i="2"/>
  <c r="L30" i="2"/>
  <c r="L25" i="2"/>
  <c r="L31" i="2"/>
  <c r="L33" i="2"/>
  <c r="L38" i="2"/>
  <c r="R5" i="2"/>
  <c r="S5" i="2"/>
  <c r="J15" i="1"/>
  <c r="I15" i="1"/>
  <c r="H15" i="1"/>
  <c r="K39" i="2"/>
  <c r="Q4" i="2"/>
  <c r="K38" i="2"/>
  <c r="R4" i="2"/>
  <c r="S4" i="2"/>
  <c r="J14" i="1"/>
  <c r="I14" i="1"/>
  <c r="H14" i="1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D14" i="1"/>
  <c r="D15" i="1"/>
  <c r="D16" i="1"/>
  <c r="D17" i="1"/>
  <c r="D18" i="1"/>
  <c r="D19" i="1"/>
  <c r="D20" i="1"/>
  <c r="D21" i="1"/>
  <c r="D22" i="1"/>
  <c r="D34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A33" i="1"/>
  <c r="C30" i="2"/>
  <c r="H20" i="2"/>
  <c r="J20" i="2"/>
  <c r="K20" i="2"/>
  <c r="N20" i="2"/>
  <c r="M20" i="2"/>
  <c r="L20" i="2"/>
  <c r="H19" i="2"/>
  <c r="J19" i="2"/>
  <c r="K19" i="2"/>
  <c r="N19" i="2"/>
  <c r="M19" i="2"/>
  <c r="L19" i="2"/>
  <c r="H18" i="2"/>
  <c r="J18" i="2"/>
  <c r="K18" i="2"/>
  <c r="N18" i="2"/>
  <c r="M18" i="2"/>
  <c r="L18" i="2"/>
  <c r="H17" i="2"/>
  <c r="J17" i="2"/>
  <c r="K17" i="2"/>
  <c r="N17" i="2"/>
  <c r="M17" i="2"/>
  <c r="L17" i="2"/>
  <c r="H16" i="2"/>
  <c r="J16" i="2"/>
  <c r="K16" i="2"/>
  <c r="N16" i="2"/>
  <c r="M16" i="2"/>
  <c r="L16" i="2"/>
  <c r="H15" i="2"/>
  <c r="J15" i="2"/>
  <c r="K15" i="2"/>
  <c r="N15" i="2"/>
  <c r="M15" i="2"/>
  <c r="L15" i="2"/>
  <c r="H14" i="2"/>
  <c r="J14" i="2"/>
  <c r="K14" i="2"/>
  <c r="N14" i="2"/>
  <c r="M14" i="2"/>
  <c r="L14" i="2"/>
  <c r="H13" i="2"/>
  <c r="J13" i="2"/>
  <c r="K13" i="2"/>
  <c r="N13" i="2"/>
  <c r="M13" i="2"/>
  <c r="L13" i="2"/>
  <c r="H12" i="2"/>
  <c r="J12" i="2"/>
  <c r="K12" i="2"/>
  <c r="N12" i="2"/>
  <c r="M12" i="2"/>
  <c r="L12" i="2"/>
  <c r="H11" i="2"/>
  <c r="J11" i="2"/>
  <c r="K11" i="2"/>
  <c r="N11" i="2"/>
  <c r="M11" i="2"/>
  <c r="L11" i="2"/>
  <c r="H10" i="2"/>
  <c r="J10" i="2"/>
  <c r="K10" i="2"/>
  <c r="N10" i="2"/>
  <c r="M10" i="2"/>
  <c r="L10" i="2"/>
  <c r="H9" i="2"/>
  <c r="J9" i="2"/>
  <c r="K9" i="2"/>
  <c r="N9" i="2"/>
  <c r="M9" i="2"/>
  <c r="L9" i="2"/>
  <c r="H8" i="2"/>
  <c r="J8" i="2"/>
  <c r="K8" i="2"/>
  <c r="N8" i="2"/>
  <c r="M8" i="2"/>
  <c r="L8" i="2"/>
  <c r="H7" i="2"/>
  <c r="J7" i="2"/>
  <c r="K7" i="2"/>
  <c r="N7" i="2"/>
  <c r="M7" i="2"/>
  <c r="L7" i="2"/>
  <c r="H6" i="2"/>
  <c r="J6" i="2"/>
  <c r="K6" i="2"/>
  <c r="N6" i="2"/>
  <c r="M6" i="2"/>
  <c r="L6" i="2"/>
  <c r="H5" i="2"/>
  <c r="J5" i="2"/>
  <c r="K5" i="2"/>
  <c r="N5" i="2"/>
  <c r="M5" i="2"/>
  <c r="L5" i="2"/>
  <c r="H4" i="2"/>
  <c r="J4" i="2"/>
  <c r="K4" i="2"/>
  <c r="N4" i="2"/>
  <c r="M4" i="2"/>
  <c r="L4" i="2"/>
  <c r="F34" i="1"/>
  <c r="E34" i="1"/>
</calcChain>
</file>

<file path=xl/sharedStrings.xml><?xml version="1.0" encoding="utf-8"?>
<sst xmlns="http://schemas.openxmlformats.org/spreadsheetml/2006/main" count="110" uniqueCount="75">
  <si>
    <t>DATE:</t>
  </si>
  <si>
    <t>FACILITY NAME:</t>
  </si>
  <si>
    <t>FACILITY ADDRESS:</t>
  </si>
  <si>
    <t>PRINT NAME:</t>
  </si>
  <si>
    <t>SIGNATURE:</t>
  </si>
  <si>
    <t>Age, wk</t>
  </si>
  <si>
    <t>Pullets</t>
  </si>
  <si>
    <t>MC of feed</t>
  </si>
  <si>
    <t>Feed in excretion</t>
  </si>
  <si>
    <t>Manure N emitted as NH3 (house level)</t>
  </si>
  <si>
    <t>House NH3 to manure storage NH3 ratio</t>
  </si>
  <si>
    <t xml:space="preserve"> </t>
  </si>
  <si>
    <t>House-level emisisons per million per day</t>
  </si>
  <si>
    <t>Manure storage emisisons per million per day</t>
  </si>
  <si>
    <t>Farm-level emisisons per million per day</t>
  </si>
  <si>
    <t>Avg. BW, g</t>
  </si>
  <si>
    <t>CP (%)</t>
  </si>
  <si>
    <t>FI, g/d (as is)</t>
  </si>
  <si>
    <t>FI, g/d (DM)</t>
  </si>
  <si>
    <t>Manure feed, g/d</t>
  </si>
  <si>
    <t>Manure N, g/d</t>
  </si>
  <si>
    <t>NH3, g/d</t>
  </si>
  <si>
    <t>MS NH3, g/d</t>
  </si>
  <si>
    <t>H+MS, g/d</t>
  </si>
  <si>
    <t>lb/MM-day</t>
  </si>
  <si>
    <t>For layers, average CP = 15.3% based on Hy-Line W36 management guide</t>
  </si>
  <si>
    <t>CSES results</t>
  </si>
  <si>
    <t>CC</t>
  </si>
  <si>
    <t>DFI, g/d</t>
  </si>
  <si>
    <t>House NH3, g/d</t>
  </si>
  <si>
    <t>% manure N as NH3</t>
  </si>
  <si>
    <t>NH3 from storage, g/d</t>
  </si>
  <si>
    <t>House to storage ratio</t>
  </si>
  <si>
    <t>House</t>
  </si>
  <si>
    <t>ESTIMATED SOURCE AND TOTAL FACILITY EMISSIONS, by AGE (lb/day)</t>
  </si>
  <si>
    <t>ESTIMATED TOTAL FACILITY EMISSIONS by SOURCE (lb/day)</t>
  </si>
  <si>
    <t>TOTAL facility pullets</t>
  </si>
  <si>
    <t>Manure Storage</t>
  </si>
  <si>
    <t>Farm Total</t>
  </si>
  <si>
    <t>Number of pullets at different ages in your facility</t>
  </si>
  <si>
    <t>Enter facility data into green cells to obtain estimated emissions by each source and the farm total</t>
  </si>
  <si>
    <t>Manure prodcution at 17 wk of age, g/bird-day (75% MC)</t>
  </si>
  <si>
    <t>NH3 ER, g/hen-d for MS of hens (Li &amp; Xin, 2010) - wk 1, min</t>
  </si>
  <si>
    <t>NH3 ER, g/hen-d for MS of hens (Li &amp; Xin, 2010) - wk 1, max</t>
  </si>
  <si>
    <t>Fresh manure prodcution of hen used in Li &amp; Xin study, g/d</t>
  </si>
  <si>
    <t>Number of hens corresponding to each manure addition</t>
  </si>
  <si>
    <t>Amount iof manure in each addition, g</t>
  </si>
  <si>
    <t>Equivalent number of 17-wk pullets</t>
  </si>
  <si>
    <t>NH3 ER of MS (g/bird-d) for 17-wk pullets - wk 1, min</t>
  </si>
  <si>
    <t>NH3 ER of MS (g/bird-d) for 17-wk pullets - wk 1, max</t>
  </si>
  <si>
    <t>House-level NH3 ER for 1-d MAT for 17-wk pullets, g/bird-d</t>
  </si>
  <si>
    <t>House (1 d MAT) + MS (1 wk)</t>
  </si>
  <si>
    <t>lb per million birds per day</t>
  </si>
  <si>
    <t>NH3 ER for MAT = 1 d, g/hen-d</t>
  </si>
  <si>
    <t>(Shepherd et al., 2017)</t>
  </si>
  <si>
    <t>Age 1-wk</t>
  </si>
  <si>
    <t>Age 2-wk</t>
  </si>
  <si>
    <t>Age 3-wk</t>
  </si>
  <si>
    <t>Age 4-wk</t>
  </si>
  <si>
    <t>Age 5-wk</t>
  </si>
  <si>
    <t>Age 6-wk</t>
  </si>
  <si>
    <t>Age 7-wk</t>
  </si>
  <si>
    <t>Age 8-wk</t>
  </si>
  <si>
    <t>Age 9-wk</t>
  </si>
  <si>
    <t>Age 10-wk</t>
  </si>
  <si>
    <t>Age 11-wk</t>
  </si>
  <si>
    <t>Age 12-wk</t>
  </si>
  <si>
    <t>Age 13-wk</t>
  </si>
  <si>
    <t>Age 14-wk</t>
  </si>
  <si>
    <t>Age 15-wk</t>
  </si>
  <si>
    <t>Age 16-wk</t>
  </si>
  <si>
    <t>Age 17-wk</t>
  </si>
  <si>
    <t>Emission factor (in lb per million pullets per day)*</t>
  </si>
  <si>
    <t>Calculation of Ammonia Emission from Pullet Farm with Manure Belt Houses</t>
  </si>
  <si>
    <t>with daily manure removal from house and weekly manure removal from on farm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</si>
</sst>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#,##0_ ;\-#,##0\ "/>
    <numFmt numFmtId="166" formatCode="0.0%"/>
    <numFmt numFmtId="167" formatCode="_(* #,##0_);_(* \(#,##0\);_(* &quot;-&quot;??_);_(@_)"/>
    <numFmt numFmtId="168" formatCode="0.0"/>
    <numFmt numFmtId="169" formatCode="0.000"/>
    <numFmt numFmtId="170" formatCode="_-* #,##0_-;\-* #,##0_-;_-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0" tint="-0.14999847407452621"/>
      <name val="Calibri"/>
      <scheme val="minor"/>
    </font>
    <font>
      <sz val="11"/>
      <color theme="0" tint="-0.14999847407452621"/>
      <name val="Calibri"/>
      <scheme val="minor"/>
    </font>
    <font>
      <b/>
      <i/>
      <sz val="14"/>
      <color theme="1"/>
      <name val="Calibri"/>
      <scheme val="minor"/>
    </font>
    <font>
      <b/>
      <i/>
      <u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wrapText="1"/>
    </xf>
    <xf numFmtId="9" fontId="0" fillId="4" borderId="0" xfId="0" applyNumberFormat="1" applyFill="1" applyAlignment="1">
      <alignment horizontal="center" wrapText="1"/>
    </xf>
    <xf numFmtId="166" fontId="0" fillId="4" borderId="0" xfId="0" applyNumberFormat="1" applyFill="1" applyAlignment="1">
      <alignment horizontal="center" wrapText="1"/>
    </xf>
    <xf numFmtId="167" fontId="4" fillId="4" borderId="0" xfId="1" applyNumberFormat="1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 vertical="center"/>
    </xf>
    <xf numFmtId="167" fontId="0" fillId="5" borderId="0" xfId="0" applyNumberFormat="1" applyFill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66" fontId="0" fillId="0" borderId="0" xfId="2" applyNumberFormat="1" applyFont="1" applyAlignment="1">
      <alignment horizontal="center"/>
    </xf>
    <xf numFmtId="0" fontId="3" fillId="0" borderId="0" xfId="0" applyFont="1" applyProtection="1"/>
    <xf numFmtId="0" fontId="3" fillId="0" borderId="0" xfId="0" applyFont="1"/>
    <xf numFmtId="165" fontId="3" fillId="2" borderId="6" xfId="1" applyNumberFormat="1" applyFont="1" applyFill="1" applyBorder="1" applyAlignment="1" applyProtection="1">
      <protection locked="0"/>
    </xf>
    <xf numFmtId="165" fontId="3" fillId="2" borderId="9" xfId="1" applyNumberFormat="1" applyFont="1" applyFill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0" xfId="0" applyFont="1" applyProtection="1"/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0" xfId="0" applyFont="1" applyBorder="1" applyProtection="1"/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5" fontId="3" fillId="7" borderId="5" xfId="1" applyNumberFormat="1" applyFont="1" applyFill="1" applyBorder="1" applyAlignment="1" applyProtection="1"/>
    <xf numFmtId="165" fontId="3" fillId="7" borderId="1" xfId="1" applyNumberFormat="1" applyFont="1" applyFill="1" applyBorder="1" applyAlignment="1" applyProtection="1"/>
    <xf numFmtId="165" fontId="3" fillId="7" borderId="6" xfId="1" applyNumberFormat="1" applyFont="1" applyFill="1" applyBorder="1" applyAlignment="1" applyProtection="1"/>
    <xf numFmtId="165" fontId="3" fillId="7" borderId="7" xfId="1" applyNumberFormat="1" applyFont="1" applyFill="1" applyBorder="1" applyAlignment="1" applyProtection="1"/>
    <xf numFmtId="165" fontId="3" fillId="7" borderId="8" xfId="1" applyNumberFormat="1" applyFont="1" applyFill="1" applyBorder="1" applyAlignment="1" applyProtection="1"/>
    <xf numFmtId="165" fontId="3" fillId="7" borderId="9" xfId="1" applyNumberFormat="1" applyFont="1" applyFill="1" applyBorder="1" applyAlignment="1" applyProtection="1"/>
    <xf numFmtId="165" fontId="2" fillId="6" borderId="7" xfId="1" applyNumberFormat="1" applyFont="1" applyFill="1" applyBorder="1" applyAlignment="1" applyProtection="1"/>
    <xf numFmtId="165" fontId="2" fillId="6" borderId="8" xfId="1" applyNumberFormat="1" applyFont="1" applyFill="1" applyBorder="1" applyAlignment="1" applyProtection="1"/>
    <xf numFmtId="165" fontId="2" fillId="6" borderId="9" xfId="1" applyNumberFormat="1" applyFont="1" applyFill="1" applyBorder="1" applyAlignment="1" applyProtection="1"/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168" fontId="3" fillId="4" borderId="1" xfId="1" applyNumberFormat="1" applyFont="1" applyFill="1" applyBorder="1" applyAlignment="1" applyProtection="1"/>
    <xf numFmtId="0" fontId="0" fillId="4" borderId="0" xfId="0" applyFill="1"/>
    <xf numFmtId="1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7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8" borderId="0" xfId="0" applyFill="1"/>
    <xf numFmtId="164" fontId="0" fillId="8" borderId="0" xfId="0" applyNumberFormat="1" applyFill="1" applyAlignment="1">
      <alignment horizontal="right"/>
    </xf>
    <xf numFmtId="169" fontId="9" fillId="8" borderId="0" xfId="0" applyNumberFormat="1" applyFont="1" applyFill="1" applyAlignment="1">
      <alignment horizontal="right"/>
    </xf>
    <xf numFmtId="164" fontId="0" fillId="8" borderId="0" xfId="0" applyNumberFormat="1" applyFill="1"/>
    <xf numFmtId="0" fontId="0" fillId="0" borderId="0" xfId="0" applyAlignment="1">
      <alignment horizontal="left"/>
    </xf>
    <xf numFmtId="167" fontId="0" fillId="4" borderId="1" xfId="0" applyNumberFormat="1" applyFill="1" applyBorder="1"/>
    <xf numFmtId="0" fontId="8" fillId="0" borderId="1" xfId="0" applyFont="1" applyBorder="1"/>
    <xf numFmtId="170" fontId="0" fillId="0" borderId="0" xfId="0" applyNumberFormat="1" applyAlignment="1">
      <alignment horizontal="right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1" fontId="11" fillId="0" borderId="5" xfId="1" applyNumberFormat="1" applyFont="1" applyFill="1" applyBorder="1" applyAlignment="1" applyProtection="1"/>
    <xf numFmtId="1" fontId="11" fillId="0" borderId="1" xfId="1" applyNumberFormat="1" applyFont="1" applyFill="1" applyBorder="1" applyAlignment="1" applyProtection="1"/>
    <xf numFmtId="1" fontId="11" fillId="0" borderId="6" xfId="1" applyNumberFormat="1" applyFont="1" applyFill="1" applyBorder="1" applyAlignment="1" applyProtection="1"/>
    <xf numFmtId="1" fontId="11" fillId="0" borderId="7" xfId="1" applyNumberFormat="1" applyFont="1" applyFill="1" applyBorder="1" applyAlignment="1" applyProtection="1"/>
    <xf numFmtId="1" fontId="11" fillId="0" borderId="8" xfId="1" applyNumberFormat="1" applyFont="1" applyFill="1" applyBorder="1" applyAlignment="1" applyProtection="1"/>
    <xf numFmtId="1" fontId="11" fillId="0" borderId="9" xfId="1" applyNumberFormat="1" applyFont="1" applyFill="1" applyBorder="1" applyAlignment="1" applyProtection="1"/>
    <xf numFmtId="0" fontId="2" fillId="0" borderId="12" xfId="0" applyFont="1" applyBorder="1" applyAlignment="1" applyProtection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2" fillId="0" borderId="1" xfId="1" applyNumberFormat="1" applyFont="1" applyFill="1" applyBorder="1" applyAlignment="1" applyProtection="1">
      <alignment horizontal="center"/>
    </xf>
    <xf numFmtId="14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wrapText="1"/>
    </xf>
  </cellXfs>
  <cellStyles count="7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9" workbookViewId="0">
      <selection activeCell="N16" sqref="N16"/>
    </sheetView>
  </sheetViews>
  <sheetFormatPr baseColWidth="10" defaultColWidth="11" defaultRowHeight="15" x14ac:dyDescent="0"/>
  <cols>
    <col min="1" max="1" width="13.6640625" customWidth="1"/>
    <col min="2" max="2" width="11.33203125" customWidth="1"/>
    <col min="3" max="3" width="2.6640625" customWidth="1"/>
    <col min="4" max="6" width="11.83203125" customWidth="1"/>
    <col min="7" max="7" width="2.5" customWidth="1"/>
    <col min="8" max="10" width="7.6640625" customWidth="1"/>
    <col min="11" max="11" width="1.1640625" customWidth="1"/>
  </cols>
  <sheetData>
    <row r="1" spans="1:10" ht="18">
      <c r="A1" s="77" t="s">
        <v>73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8">
      <c r="A2" s="78" t="s">
        <v>74</v>
      </c>
      <c r="B2" s="78"/>
      <c r="C2" s="78"/>
      <c r="D2" s="78"/>
      <c r="E2" s="78"/>
      <c r="F2" s="78"/>
      <c r="G2" s="78"/>
      <c r="H2" s="78"/>
      <c r="I2" s="78"/>
      <c r="J2" s="78"/>
    </row>
    <row r="4" spans="1:10">
      <c r="A4" s="1" t="s">
        <v>40</v>
      </c>
      <c r="B4" s="1"/>
      <c r="C4" s="1"/>
      <c r="D4" s="1"/>
      <c r="E4" s="1"/>
      <c r="F4" s="2"/>
    </row>
    <row r="5" spans="1:10" ht="16" thickBot="1">
      <c r="A5" s="1"/>
      <c r="B5" s="1"/>
      <c r="C5" s="1"/>
      <c r="D5" s="1"/>
      <c r="E5" s="2"/>
      <c r="F5" s="1"/>
    </row>
    <row r="6" spans="1:10" ht="16" thickBot="1">
      <c r="A6" s="76" t="s">
        <v>0</v>
      </c>
      <c r="B6" s="80"/>
      <c r="C6" s="81"/>
      <c r="D6" s="81"/>
      <c r="E6" s="81"/>
      <c r="F6" s="81"/>
      <c r="G6" s="81"/>
      <c r="H6" s="81"/>
      <c r="I6" s="81"/>
      <c r="J6" s="82"/>
    </row>
    <row r="7" spans="1:10" ht="16" thickBot="1">
      <c r="A7" s="76" t="s">
        <v>1</v>
      </c>
      <c r="B7" s="83"/>
      <c r="C7" s="81"/>
      <c r="D7" s="81"/>
      <c r="E7" s="81"/>
      <c r="F7" s="81"/>
      <c r="G7" s="81"/>
      <c r="H7" s="81"/>
      <c r="I7" s="81"/>
      <c r="J7" s="82"/>
    </row>
    <row r="8" spans="1:10" ht="33" customHeight="1" thickBot="1">
      <c r="A8" s="76" t="s">
        <v>2</v>
      </c>
      <c r="B8" s="84"/>
      <c r="C8" s="84"/>
      <c r="D8" s="84"/>
      <c r="E8" s="84"/>
      <c r="F8" s="84"/>
      <c r="G8" s="84"/>
      <c r="H8" s="84"/>
      <c r="I8" s="84"/>
      <c r="J8" s="85"/>
    </row>
    <row r="9" spans="1:10" ht="16" thickBot="1">
      <c r="A9" s="76" t="s">
        <v>3</v>
      </c>
      <c r="B9" s="83"/>
      <c r="C9" s="81"/>
      <c r="D9" s="81"/>
      <c r="E9" s="81"/>
      <c r="F9" s="81"/>
      <c r="G9" s="81"/>
      <c r="H9" s="81"/>
      <c r="I9" s="81"/>
      <c r="J9" s="82"/>
    </row>
    <row r="10" spans="1:10" ht="16" thickBot="1">
      <c r="A10" s="76" t="s">
        <v>4</v>
      </c>
      <c r="B10" s="84"/>
      <c r="C10" s="84"/>
      <c r="D10" s="84"/>
      <c r="E10" s="84"/>
      <c r="F10" s="84"/>
      <c r="G10" s="84"/>
      <c r="H10" s="84"/>
      <c r="I10" s="84"/>
      <c r="J10" s="85"/>
    </row>
    <row r="11" spans="1:10" ht="16" thickBot="1">
      <c r="A11" s="1"/>
      <c r="B11" s="1"/>
      <c r="C11" s="3"/>
      <c r="D11" s="3"/>
      <c r="E11" s="1"/>
      <c r="F11" s="1"/>
    </row>
    <row r="12" spans="1:10" s="29" customFormat="1" ht="32" customHeight="1">
      <c r="A12" s="90" t="s">
        <v>39</v>
      </c>
      <c r="B12" s="91"/>
      <c r="C12" s="28"/>
      <c r="D12" s="92" t="s">
        <v>34</v>
      </c>
      <c r="E12" s="93"/>
      <c r="F12" s="94"/>
      <c r="H12" s="86" t="s">
        <v>72</v>
      </c>
      <c r="I12" s="87"/>
      <c r="J12" s="88"/>
    </row>
    <row r="13" spans="1:10" s="29" customFormat="1" ht="28">
      <c r="A13" s="32" t="s">
        <v>5</v>
      </c>
      <c r="B13" s="33" t="s">
        <v>6</v>
      </c>
      <c r="C13" s="34"/>
      <c r="D13" s="38" t="s">
        <v>33</v>
      </c>
      <c r="E13" s="39" t="s">
        <v>37</v>
      </c>
      <c r="F13" s="40" t="s">
        <v>38</v>
      </c>
      <c r="H13" s="67" t="s">
        <v>33</v>
      </c>
      <c r="I13" s="68" t="s">
        <v>37</v>
      </c>
      <c r="J13" s="69" t="s">
        <v>38</v>
      </c>
    </row>
    <row r="14" spans="1:10" s="29" customFormat="1" ht="13" customHeight="1">
      <c r="A14" s="35">
        <v>1</v>
      </c>
      <c r="B14" s="30">
        <v>0</v>
      </c>
      <c r="C14" s="28"/>
      <c r="D14" s="41">
        <f>$B14/1000000*H14</f>
        <v>0</v>
      </c>
      <c r="E14" s="42">
        <f t="shared" ref="E14:E30" si="0">$B14/1000000*I14</f>
        <v>0</v>
      </c>
      <c r="F14" s="43">
        <f t="shared" ref="F14:F30" si="1">$B14/1000000*J14</f>
        <v>0</v>
      </c>
      <c r="H14" s="70">
        <f>'Emission Tables &amp; calc'!Q4</f>
        <v>22.844036348365858</v>
      </c>
      <c r="I14" s="71">
        <f>'Emission Tables &amp; calc'!R4</f>
        <v>56.835702843412086</v>
      </c>
      <c r="J14" s="72">
        <f>'Emission Tables &amp; calc'!S4</f>
        <v>79.679739191777941</v>
      </c>
    </row>
    <row r="15" spans="1:10" s="29" customFormat="1" ht="13" customHeight="1">
      <c r="A15" s="35">
        <v>2</v>
      </c>
      <c r="B15" s="30">
        <v>0</v>
      </c>
      <c r="C15" s="28"/>
      <c r="D15" s="41">
        <f t="shared" ref="D15:D30" si="2">$B15/1000000*H15</f>
        <v>0</v>
      </c>
      <c r="E15" s="42">
        <f t="shared" si="0"/>
        <v>0</v>
      </c>
      <c r="F15" s="43">
        <f t="shared" si="1"/>
        <v>0</v>
      </c>
      <c r="H15" s="70">
        <f>'Emission Tables &amp; calc'!Q5</f>
        <v>25.994937913657694</v>
      </c>
      <c r="I15" s="71">
        <f>'Emission Tables &amp; calc'!R5</f>
        <v>64.675110132158594</v>
      </c>
      <c r="J15" s="72">
        <f>'Emission Tables &amp; calc'!S5</f>
        <v>90.670048045816287</v>
      </c>
    </row>
    <row r="16" spans="1:10" s="29" customFormat="1" ht="13" customHeight="1">
      <c r="A16" s="35">
        <v>3</v>
      </c>
      <c r="B16" s="30">
        <v>0</v>
      </c>
      <c r="C16" s="28"/>
      <c r="D16" s="41">
        <f t="shared" si="2"/>
        <v>0</v>
      </c>
      <c r="E16" s="42">
        <f t="shared" si="0"/>
        <v>0</v>
      </c>
      <c r="F16" s="43">
        <f t="shared" si="1"/>
        <v>0</v>
      </c>
      <c r="H16" s="70">
        <f>'Emission Tables &amp; calc'!Q6</f>
        <v>29.933564870272498</v>
      </c>
      <c r="I16" s="71">
        <f>'Emission Tables &amp; calc'!R6</f>
        <v>74.474369243091715</v>
      </c>
      <c r="J16" s="72">
        <f>'Emission Tables &amp; calc'!S6</f>
        <v>104.40793411336421</v>
      </c>
    </row>
    <row r="17" spans="1:10" s="29" customFormat="1" ht="13" customHeight="1">
      <c r="A17" s="35">
        <v>4</v>
      </c>
      <c r="B17" s="30">
        <v>0</v>
      </c>
      <c r="C17" s="28"/>
      <c r="D17" s="41">
        <f t="shared" si="2"/>
        <v>0</v>
      </c>
      <c r="E17" s="42">
        <f t="shared" si="0"/>
        <v>0</v>
      </c>
      <c r="F17" s="43">
        <f t="shared" si="1"/>
        <v>0</v>
      </c>
      <c r="H17" s="70">
        <f>'Emission Tables &amp; calc'!Q7</f>
        <v>43.127965174932086</v>
      </c>
      <c r="I17" s="71">
        <f>'Emission Tables &amp; calc'!R7</f>
        <v>117.59110933119743</v>
      </c>
      <c r="J17" s="72">
        <f>'Emission Tables &amp; calc'!S7</f>
        <v>160.71907450612952</v>
      </c>
    </row>
    <row r="18" spans="1:10" s="29" customFormat="1" ht="13" customHeight="1">
      <c r="A18" s="35">
        <v>5</v>
      </c>
      <c r="B18" s="30">
        <v>0</v>
      </c>
      <c r="C18" s="28"/>
      <c r="D18" s="41">
        <f t="shared" si="2"/>
        <v>0</v>
      </c>
      <c r="E18" s="42">
        <f t="shared" si="0"/>
        <v>0</v>
      </c>
      <c r="F18" s="43">
        <f t="shared" si="1"/>
        <v>0</v>
      </c>
      <c r="H18" s="70">
        <f>'Emission Tables &amp; calc'!Q8</f>
        <v>56.066354727411706</v>
      </c>
      <c r="I18" s="71">
        <f>'Emission Tables &amp; calc'!R8</f>
        <v>152.86844213055667</v>
      </c>
      <c r="J18" s="72">
        <f>'Emission Tables &amp; calc'!S8</f>
        <v>208.93479685796837</v>
      </c>
    </row>
    <row r="19" spans="1:10" s="29" customFormat="1" ht="13" customHeight="1">
      <c r="A19" s="35">
        <v>6</v>
      </c>
      <c r="B19" s="30">
        <v>0</v>
      </c>
      <c r="C19" s="28"/>
      <c r="D19" s="41">
        <f t="shared" si="2"/>
        <v>0</v>
      </c>
      <c r="E19" s="42">
        <f t="shared" si="0"/>
        <v>0</v>
      </c>
      <c r="F19" s="43">
        <f t="shared" si="1"/>
        <v>0</v>
      </c>
      <c r="H19" s="70">
        <f>'Emission Tables &amp; calc'!Q9</f>
        <v>60.379151244904925</v>
      </c>
      <c r="I19" s="71">
        <f>'Emission Tables &amp; calc'!R9</f>
        <v>164.62755306367637</v>
      </c>
      <c r="J19" s="72">
        <f>'Emission Tables &amp; calc'!S9</f>
        <v>225.00670430858131</v>
      </c>
    </row>
    <row r="20" spans="1:10" s="29" customFormat="1" ht="13" customHeight="1">
      <c r="A20" s="35">
        <v>7</v>
      </c>
      <c r="B20" s="30">
        <v>0</v>
      </c>
      <c r="C20" s="28"/>
      <c r="D20" s="41">
        <f t="shared" si="2"/>
        <v>0</v>
      </c>
      <c r="E20" s="42">
        <f t="shared" si="0"/>
        <v>0</v>
      </c>
      <c r="F20" s="43">
        <f t="shared" si="1"/>
        <v>0</v>
      </c>
      <c r="H20" s="70">
        <f>'Emission Tables &amp; calc'!Q10</f>
        <v>59.276335697052772</v>
      </c>
      <c r="I20" s="71">
        <f>'Emission Tables &amp; calc'!R10</f>
        <v>168.54725670804962</v>
      </c>
      <c r="J20" s="72">
        <f>'Emission Tables &amp; calc'!S10</f>
        <v>227.82359240510237</v>
      </c>
    </row>
    <row r="21" spans="1:10" s="29" customFormat="1" ht="13" customHeight="1">
      <c r="A21" s="35">
        <v>8</v>
      </c>
      <c r="B21" s="30">
        <v>0</v>
      </c>
      <c r="C21" s="28"/>
      <c r="D21" s="41">
        <f t="shared" si="2"/>
        <v>0</v>
      </c>
      <c r="E21" s="42">
        <f t="shared" si="0"/>
        <v>0</v>
      </c>
      <c r="F21" s="43">
        <f t="shared" si="1"/>
        <v>0</v>
      </c>
      <c r="H21" s="70">
        <f>'Emission Tables &amp; calc'!Q11</f>
        <v>63.411894001498304</v>
      </c>
      <c r="I21" s="71">
        <f>'Emission Tables &amp; calc'!R11</f>
        <v>180.3063676411694</v>
      </c>
      <c r="J21" s="72">
        <f>'Emission Tables &amp; calc'!S11</f>
        <v>243.7182616426677</v>
      </c>
    </row>
    <row r="22" spans="1:10" s="29" customFormat="1" ht="13" customHeight="1">
      <c r="A22" s="35">
        <v>9</v>
      </c>
      <c r="B22" s="30">
        <v>0</v>
      </c>
      <c r="C22" s="28"/>
      <c r="D22" s="41">
        <f t="shared" si="2"/>
        <v>0</v>
      </c>
      <c r="E22" s="42">
        <f t="shared" si="0"/>
        <v>0</v>
      </c>
      <c r="F22" s="43">
        <f t="shared" si="1"/>
        <v>0</v>
      </c>
      <c r="H22" s="70">
        <f>'Emission Tables &amp; calc'!Q12</f>
        <v>66.168932871128675</v>
      </c>
      <c r="I22" s="71">
        <f>'Emission Tables &amp; calc'!R12</f>
        <v>188.14577492991589</v>
      </c>
      <c r="J22" s="72">
        <f>'Emission Tables &amp; calc'!S12</f>
        <v>254.31470780104456</v>
      </c>
    </row>
    <row r="23" spans="1:10" s="29" customFormat="1" ht="13" customHeight="1">
      <c r="A23" s="35">
        <v>10</v>
      </c>
      <c r="B23" s="30">
        <v>0</v>
      </c>
      <c r="C23" s="28"/>
      <c r="D23" s="41">
        <f t="shared" si="2"/>
        <v>0</v>
      </c>
      <c r="E23" s="42">
        <f t="shared" si="0"/>
        <v>0</v>
      </c>
      <c r="F23" s="43">
        <f t="shared" si="1"/>
        <v>0</v>
      </c>
      <c r="H23" s="70">
        <f>'Emission Tables &amp; calc'!Q13</f>
        <v>70.304491175574213</v>
      </c>
      <c r="I23" s="71">
        <f>'Emission Tables &amp; calc'!R13</f>
        <v>199.90488586303559</v>
      </c>
      <c r="J23" s="72">
        <f>'Emission Tables &amp; calc'!S13</f>
        <v>270.20937703860977</v>
      </c>
    </row>
    <row r="24" spans="1:10" s="29" customFormat="1" ht="13" customHeight="1">
      <c r="A24" s="35">
        <v>11</v>
      </c>
      <c r="B24" s="30">
        <v>0</v>
      </c>
      <c r="C24" s="28"/>
      <c r="D24" s="41">
        <f t="shared" si="2"/>
        <v>0</v>
      </c>
      <c r="E24" s="42">
        <f t="shared" si="0"/>
        <v>0</v>
      </c>
      <c r="F24" s="43">
        <f t="shared" si="1"/>
        <v>0</v>
      </c>
      <c r="H24" s="70">
        <f>'Emission Tables &amp; calc'!Q14</f>
        <v>73.061530045204563</v>
      </c>
      <c r="I24" s="71">
        <f>'Emission Tables &amp; calc'!R14</f>
        <v>207.74429315178213</v>
      </c>
      <c r="J24" s="72">
        <f>'Emission Tables &amp; calc'!S14</f>
        <v>280.80582319698669</v>
      </c>
    </row>
    <row r="25" spans="1:10" s="29" customFormat="1" ht="13" customHeight="1">
      <c r="A25" s="35">
        <v>12</v>
      </c>
      <c r="B25" s="30">
        <v>0</v>
      </c>
      <c r="C25" s="28"/>
      <c r="D25" s="41">
        <f t="shared" si="2"/>
        <v>0</v>
      </c>
      <c r="E25" s="42">
        <f t="shared" si="0"/>
        <v>0</v>
      </c>
      <c r="F25" s="43">
        <f t="shared" si="1"/>
        <v>0</v>
      </c>
      <c r="H25" s="70">
        <f>'Emission Tables &amp; calc'!Q15</f>
        <v>74.440049480019752</v>
      </c>
      <c r="I25" s="71">
        <f>'Emission Tables &amp; calc'!R15</f>
        <v>211.66399679615535</v>
      </c>
      <c r="J25" s="72">
        <f>'Emission Tables &amp; calc'!S15</f>
        <v>286.1040462761751</v>
      </c>
    </row>
    <row r="26" spans="1:10" s="29" customFormat="1" ht="13" customHeight="1">
      <c r="A26" s="35">
        <v>13</v>
      </c>
      <c r="B26" s="30">
        <v>0</v>
      </c>
      <c r="C26" s="28"/>
      <c r="D26" s="41">
        <f t="shared" si="2"/>
        <v>0</v>
      </c>
      <c r="E26" s="42">
        <f t="shared" si="0"/>
        <v>0</v>
      </c>
      <c r="F26" s="43">
        <f t="shared" si="1"/>
        <v>0</v>
      </c>
      <c r="H26" s="70">
        <f>'Emission Tables &amp; calc'!Q16</f>
        <v>70.580195062537271</v>
      </c>
      <c r="I26" s="71">
        <f>'Emission Tables &amp; calc'!R16</f>
        <v>219.50340408490186</v>
      </c>
      <c r="J26" s="72">
        <f>'Emission Tables &amp; calc'!S16</f>
        <v>290.08359914743914</v>
      </c>
    </row>
    <row r="27" spans="1:10" s="29" customFormat="1" ht="13" customHeight="1">
      <c r="A27" s="35">
        <v>14</v>
      </c>
      <c r="B27" s="30">
        <v>0</v>
      </c>
      <c r="C27" s="28"/>
      <c r="D27" s="41">
        <f t="shared" si="2"/>
        <v>0</v>
      </c>
      <c r="E27" s="42">
        <f t="shared" si="0"/>
        <v>0</v>
      </c>
      <c r="F27" s="43">
        <f t="shared" si="1"/>
        <v>0</v>
      </c>
      <c r="H27" s="70">
        <f>'Emission Tables &amp; calc'!Q17</f>
        <v>71.840555688654007</v>
      </c>
      <c r="I27" s="71">
        <f>'Emission Tables &amp; calc'!R17</f>
        <v>223.4231077292751</v>
      </c>
      <c r="J27" s="72">
        <f>'Emission Tables &amp; calc'!S17</f>
        <v>295.26366341792914</v>
      </c>
    </row>
    <row r="28" spans="1:10" s="29" customFormat="1" ht="13" customHeight="1">
      <c r="A28" s="35">
        <v>15</v>
      </c>
      <c r="B28" s="30">
        <v>0</v>
      </c>
      <c r="C28" s="28"/>
      <c r="D28" s="41">
        <f t="shared" si="2"/>
        <v>0</v>
      </c>
      <c r="E28" s="42">
        <f t="shared" si="0"/>
        <v>0</v>
      </c>
      <c r="F28" s="43">
        <f t="shared" si="1"/>
        <v>0</v>
      </c>
      <c r="H28" s="70">
        <f>'Emission Tables &amp; calc'!Q18</f>
        <v>74.361276940887464</v>
      </c>
      <c r="I28" s="71">
        <f>'Emission Tables &amp; calc'!R18</f>
        <v>231.26251501802165</v>
      </c>
      <c r="J28" s="72">
        <f>'Emission Tables &amp; calc'!S18</f>
        <v>305.62379195890912</v>
      </c>
    </row>
    <row r="29" spans="1:10" s="29" customFormat="1" ht="13" customHeight="1">
      <c r="A29" s="35">
        <v>16</v>
      </c>
      <c r="B29" s="30">
        <v>0</v>
      </c>
      <c r="C29" s="28"/>
      <c r="D29" s="41">
        <f t="shared" si="2"/>
        <v>0</v>
      </c>
      <c r="E29" s="42">
        <f t="shared" si="0"/>
        <v>0</v>
      </c>
      <c r="F29" s="43">
        <f t="shared" si="1"/>
        <v>0</v>
      </c>
      <c r="H29" s="70">
        <f>'Emission Tables &amp; calc'!Q19</f>
        <v>79.284560636655982</v>
      </c>
      <c r="I29" s="71">
        <f>'Emission Tables &amp; calc'!R19</f>
        <v>239.1019223067681</v>
      </c>
      <c r="J29" s="72">
        <f>'Emission Tables &amp; calc'!S19</f>
        <v>318.38648294342408</v>
      </c>
    </row>
    <row r="30" spans="1:10" s="29" customFormat="1" ht="13" customHeight="1" thickBot="1">
      <c r="A30" s="36">
        <v>17</v>
      </c>
      <c r="B30" s="31">
        <v>0</v>
      </c>
      <c r="C30" s="28"/>
      <c r="D30" s="44">
        <f t="shared" si="2"/>
        <v>0</v>
      </c>
      <c r="E30" s="45">
        <f t="shared" si="0"/>
        <v>0</v>
      </c>
      <c r="F30" s="46">
        <f t="shared" si="1"/>
        <v>0</v>
      </c>
      <c r="H30" s="73">
        <f>'Emission Tables &amp; calc'!Q20</f>
        <v>80.584307532338869</v>
      </c>
      <c r="I30" s="74">
        <f>'Emission Tables &amp; calc'!R20</f>
        <v>243.02162595114135</v>
      </c>
      <c r="J30" s="75">
        <f>'Emission Tables &amp; calc'!S20</f>
        <v>323.60593348348021</v>
      </c>
    </row>
    <row r="31" spans="1:10" s="29" customFormat="1" thickBot="1">
      <c r="A31" s="28"/>
      <c r="B31" s="28"/>
      <c r="C31" s="28"/>
      <c r="D31" s="28"/>
      <c r="E31" s="28"/>
      <c r="F31" s="28"/>
    </row>
    <row r="32" spans="1:10" s="29" customFormat="1" ht="32" customHeight="1">
      <c r="A32" s="89" t="s">
        <v>36</v>
      </c>
      <c r="B32" s="89"/>
      <c r="C32" s="28"/>
      <c r="D32" s="92" t="s">
        <v>35</v>
      </c>
      <c r="E32" s="93"/>
      <c r="F32" s="94"/>
    </row>
    <row r="33" spans="1:6" s="29" customFormat="1" ht="29" customHeight="1">
      <c r="A33" s="79">
        <f>SUM(B14:B30)</f>
        <v>0</v>
      </c>
      <c r="B33" s="79"/>
      <c r="C33" s="28"/>
      <c r="D33" s="38" t="s">
        <v>33</v>
      </c>
      <c r="E33" s="39" t="s">
        <v>37</v>
      </c>
      <c r="F33" s="40" t="s">
        <v>38</v>
      </c>
    </row>
    <row r="34" spans="1:6" s="29" customFormat="1" ht="15" customHeight="1" thickBot="1">
      <c r="C34" s="37"/>
      <c r="D34" s="47">
        <f t="shared" ref="D34:F34" si="3">SUM(D14:D30)</f>
        <v>0</v>
      </c>
      <c r="E34" s="48">
        <f t="shared" si="3"/>
        <v>0</v>
      </c>
      <c r="F34" s="49">
        <f t="shared" si="3"/>
        <v>0</v>
      </c>
    </row>
    <row r="35" spans="1:6" s="29" customFormat="1" ht="14">
      <c r="A35" s="28"/>
      <c r="B35" s="28"/>
      <c r="C35" s="28"/>
      <c r="D35" s="28"/>
      <c r="E35" s="28"/>
      <c r="F35" s="28"/>
    </row>
  </sheetData>
  <sheetProtection password="CE90" sheet="1" objects="1" scenarios="1"/>
  <mergeCells count="13">
    <mergeCell ref="A1:J1"/>
    <mergeCell ref="A2:J2"/>
    <mergeCell ref="A33:B33"/>
    <mergeCell ref="B6:J6"/>
    <mergeCell ref="B7:J7"/>
    <mergeCell ref="B8:J8"/>
    <mergeCell ref="B9:J9"/>
    <mergeCell ref="B10:J10"/>
    <mergeCell ref="H12:J12"/>
    <mergeCell ref="A32:B32"/>
    <mergeCell ref="A12:B12"/>
    <mergeCell ref="D12:F12"/>
    <mergeCell ref="D32:F32"/>
  </mergeCells>
  <phoneticPr fontId="7" type="noConversion"/>
  <pageMargins left="0.25" right="0.25" top="0.5" bottom="0.25" header="0.5" footer="0.5"/>
  <pageSetup orientation="portrait" horizontalDpi="4294967292" verticalDpi="4294967292"/>
  <headerFooter>
    <oddFooter>&amp;L&amp;"Calibri,Regular"&amp;K000000&amp;G&amp;R&amp;"Calibri,Regular"&amp;8&amp;K000000Revision  date: November 16, 2017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AA40"/>
  <sheetViews>
    <sheetView workbookViewId="0">
      <selection sqref="A1:XFD1048576"/>
    </sheetView>
  </sheetViews>
  <sheetFormatPr baseColWidth="10" defaultColWidth="8.83203125" defaultRowHeight="15" x14ac:dyDescent="0"/>
  <cols>
    <col min="1" max="1" width="19.5" style="17" customWidth="1"/>
    <col min="2" max="2" width="10.5" style="17" customWidth="1"/>
    <col min="3" max="3" width="7.5" style="17" customWidth="1"/>
    <col min="4" max="4" width="8.5" style="17" customWidth="1"/>
    <col min="5" max="5" width="8.83203125" customWidth="1"/>
    <col min="8" max="8" width="14.6640625" customWidth="1"/>
    <col min="9" max="9" width="11.5" customWidth="1"/>
    <col min="10" max="10" width="14.33203125" customWidth="1"/>
    <col min="11" max="11" width="9.5" customWidth="1"/>
    <col min="12" max="12" width="12.83203125" bestFit="1" customWidth="1"/>
    <col min="13" max="13" width="14.5" customWidth="1"/>
    <col min="14" max="14" width="13.83203125" customWidth="1"/>
    <col min="15" max="15" width="9.33203125" customWidth="1"/>
    <col min="16" max="16" width="11" customWidth="1"/>
    <col min="17" max="27" width="9.33203125" customWidth="1"/>
  </cols>
  <sheetData>
    <row r="1" spans="1:19" s="4" customFormat="1">
      <c r="E1" s="5">
        <v>0.13</v>
      </c>
      <c r="F1" s="5">
        <v>0.3</v>
      </c>
      <c r="H1" s="6">
        <f>C28</f>
        <v>0.10662021622066019</v>
      </c>
      <c r="I1" s="6">
        <v>0.39500000000000002</v>
      </c>
      <c r="L1" s="7">
        <v>1000000</v>
      </c>
    </row>
    <row r="2" spans="1:19" s="8" customFormat="1" ht="48">
      <c r="E2" s="9" t="s">
        <v>7</v>
      </c>
      <c r="F2" s="9" t="s">
        <v>8</v>
      </c>
      <c r="H2" s="10" t="s">
        <v>9</v>
      </c>
      <c r="I2" s="10" t="s">
        <v>10</v>
      </c>
      <c r="J2" s="10" t="s">
        <v>11</v>
      </c>
      <c r="L2" s="11" t="s">
        <v>12</v>
      </c>
      <c r="M2" s="11" t="s">
        <v>13</v>
      </c>
      <c r="N2" s="11" t="s">
        <v>14</v>
      </c>
    </row>
    <row r="3" spans="1:19" s="15" customFormat="1" ht="28">
      <c r="A3" s="12" t="s">
        <v>5</v>
      </c>
      <c r="B3" s="4" t="s">
        <v>15</v>
      </c>
      <c r="C3" s="13" t="s">
        <v>16</v>
      </c>
      <c r="D3" s="13" t="s">
        <v>17</v>
      </c>
      <c r="E3" s="13" t="s">
        <v>18</v>
      </c>
      <c r="F3" s="14" t="s">
        <v>19</v>
      </c>
      <c r="G3" s="13" t="s">
        <v>20</v>
      </c>
      <c r="H3" s="10" t="s">
        <v>21</v>
      </c>
      <c r="I3" s="10"/>
      <c r="J3" s="10" t="s">
        <v>22</v>
      </c>
      <c r="K3" s="10" t="s">
        <v>23</v>
      </c>
      <c r="L3" s="11" t="s">
        <v>24</v>
      </c>
      <c r="M3" s="11" t="s">
        <v>24</v>
      </c>
      <c r="N3" s="11" t="s">
        <v>24</v>
      </c>
      <c r="Q3" s="50" t="s">
        <v>33</v>
      </c>
      <c r="R3" s="51" t="s">
        <v>37</v>
      </c>
      <c r="S3" s="52" t="s">
        <v>38</v>
      </c>
    </row>
    <row r="4" spans="1:19">
      <c r="A4" s="16">
        <v>1</v>
      </c>
      <c r="B4" s="17">
        <v>65</v>
      </c>
      <c r="C4" s="18">
        <v>0.2</v>
      </c>
      <c r="D4" s="19">
        <v>14.5</v>
      </c>
      <c r="E4" s="20">
        <f>D4*(1-$E$1)</f>
        <v>12.615</v>
      </c>
      <c r="F4" s="21">
        <f>E4*$F$1</f>
        <v>3.7845</v>
      </c>
      <c r="G4" s="21">
        <f>C4*D4*$F$1/6.25</f>
        <v>0.13920000000000002</v>
      </c>
      <c r="H4" s="22">
        <f>G4*$H$1*17/14</f>
        <v>1.8021862833183595E-2</v>
      </c>
      <c r="I4" s="22"/>
      <c r="J4" s="22">
        <f>H4/$I$1</f>
        <v>4.562496919793315E-2</v>
      </c>
      <c r="K4" s="22">
        <f>H4+J4</f>
        <v>6.3646832031116748E-2</v>
      </c>
      <c r="L4" s="23">
        <f>H4*$L$1/454</f>
        <v>39.695733112739191</v>
      </c>
      <c r="M4" s="23">
        <f>J4*$L$1/454</f>
        <v>100.49552686769415</v>
      </c>
      <c r="N4" s="23">
        <f>K4*$L$1/454</f>
        <v>140.19125998043336</v>
      </c>
      <c r="P4" t="s">
        <v>55</v>
      </c>
      <c r="Q4" s="53">
        <f>HLOOKUP($P4,$K$24:$AA$40,16,FALSE)</f>
        <v>22.844036348365858</v>
      </c>
      <c r="R4" s="53">
        <f>HLOOKUP($P4,$K$24:$AA$40,15,FALSE)</f>
        <v>56.835702843412086</v>
      </c>
      <c r="S4" s="53">
        <f t="shared" ref="S4:S20" si="0">Q4+R4</f>
        <v>79.679739191777941</v>
      </c>
    </row>
    <row r="5" spans="1:19">
      <c r="A5" s="16">
        <v>2</v>
      </c>
      <c r="B5" s="17">
        <v>114.99999999999999</v>
      </c>
      <c r="C5" s="18">
        <v>0.2</v>
      </c>
      <c r="D5" s="19">
        <v>16.5</v>
      </c>
      <c r="E5" s="20">
        <f t="shared" ref="E5:E20" si="1">D5*(1-$E$1)</f>
        <v>14.355</v>
      </c>
      <c r="F5" s="21">
        <f t="shared" ref="F5:F20" si="2">E5*$F$1</f>
        <v>4.3064999999999998</v>
      </c>
      <c r="G5" s="21">
        <f t="shared" ref="G5:G20" si="3">C5*D5*$F$1/6.25</f>
        <v>0.15839999999999999</v>
      </c>
      <c r="H5" s="22">
        <f t="shared" ref="H5:H20" si="4">G5*$H$1*17/14</f>
        <v>2.0507637017070979E-2</v>
      </c>
      <c r="I5" s="22"/>
      <c r="J5" s="22">
        <f t="shared" ref="J5:J20" si="5">H5/$I$1</f>
        <v>5.1918068397648044E-2</v>
      </c>
      <c r="K5" s="22">
        <f t="shared" ref="K5:K20" si="6">H5+J5</f>
        <v>7.2425705414719016E-2</v>
      </c>
      <c r="L5" s="23">
        <f t="shared" ref="L5:L20" si="7">H5*$L$1/454</f>
        <v>45.171006645530788</v>
      </c>
      <c r="M5" s="23">
        <f t="shared" ref="M5:N20" si="8">J5*$L$1/454</f>
        <v>114.35697884944503</v>
      </c>
      <c r="N5" s="23">
        <f t="shared" si="8"/>
        <v>159.52798549497581</v>
      </c>
      <c r="P5" t="s">
        <v>56</v>
      </c>
      <c r="Q5" s="53">
        <f t="shared" ref="Q5:Q20" si="9">HLOOKUP($P5,$K$24:$AA$40,16,FALSE)</f>
        <v>25.994937913657694</v>
      </c>
      <c r="R5" s="53">
        <f t="shared" ref="R5:R20" si="10">HLOOKUP($P5,$K$24:$AA$40,15,FALSE)</f>
        <v>64.675110132158594</v>
      </c>
      <c r="S5" s="53">
        <f t="shared" si="0"/>
        <v>90.670048045816287</v>
      </c>
    </row>
    <row r="6" spans="1:19">
      <c r="A6" s="16">
        <v>3</v>
      </c>
      <c r="B6" s="17">
        <v>175</v>
      </c>
      <c r="C6" s="18">
        <v>0.2</v>
      </c>
      <c r="D6" s="19">
        <v>19</v>
      </c>
      <c r="E6" s="20">
        <f t="shared" si="1"/>
        <v>16.53</v>
      </c>
      <c r="F6" s="21">
        <f t="shared" si="2"/>
        <v>4.9590000000000005</v>
      </c>
      <c r="G6" s="21">
        <f t="shared" si="3"/>
        <v>0.18240000000000001</v>
      </c>
      <c r="H6" s="22">
        <f t="shared" si="4"/>
        <v>2.3614854746930224E-2</v>
      </c>
      <c r="I6" s="22"/>
      <c r="J6" s="22">
        <f t="shared" si="5"/>
        <v>5.97844423972917E-2</v>
      </c>
      <c r="K6" s="22">
        <f t="shared" si="6"/>
        <v>8.3399297144221923E-2</v>
      </c>
      <c r="L6" s="23">
        <f t="shared" si="7"/>
        <v>52.015098561520318</v>
      </c>
      <c r="M6" s="23">
        <f t="shared" si="8"/>
        <v>131.68379382663369</v>
      </c>
      <c r="N6" s="23">
        <f t="shared" si="8"/>
        <v>183.69889238815404</v>
      </c>
      <c r="P6" t="s">
        <v>57</v>
      </c>
      <c r="Q6" s="53">
        <f t="shared" si="9"/>
        <v>29.933564870272498</v>
      </c>
      <c r="R6" s="53">
        <f t="shared" si="10"/>
        <v>74.474369243091715</v>
      </c>
      <c r="S6" s="53">
        <f t="shared" si="0"/>
        <v>104.40793411336421</v>
      </c>
    </row>
    <row r="7" spans="1:19">
      <c r="A7" s="16">
        <v>4</v>
      </c>
      <c r="B7" s="17">
        <v>255</v>
      </c>
      <c r="C7" s="18">
        <v>0.1825</v>
      </c>
      <c r="D7" s="19">
        <v>30</v>
      </c>
      <c r="E7" s="20">
        <f t="shared" si="1"/>
        <v>26.1</v>
      </c>
      <c r="F7" s="21">
        <f t="shared" si="2"/>
        <v>7.83</v>
      </c>
      <c r="G7" s="21">
        <f t="shared" si="3"/>
        <v>0.26279999999999998</v>
      </c>
      <c r="H7" s="22">
        <f t="shared" si="4"/>
        <v>3.4024034141958669E-2</v>
      </c>
      <c r="I7" s="22"/>
      <c r="J7" s="22">
        <f t="shared" si="5"/>
        <v>8.6136795296097898E-2</v>
      </c>
      <c r="K7" s="22">
        <f t="shared" si="6"/>
        <v>0.12016082943805656</v>
      </c>
      <c r="L7" s="23">
        <f t="shared" si="7"/>
        <v>74.942806480085181</v>
      </c>
      <c r="M7" s="23">
        <f t="shared" si="8"/>
        <v>189.72862400021563</v>
      </c>
      <c r="N7" s="23">
        <f t="shared" si="8"/>
        <v>264.67143048030078</v>
      </c>
      <c r="P7" t="s">
        <v>58</v>
      </c>
      <c r="Q7" s="53">
        <f t="shared" si="9"/>
        <v>43.127965174932086</v>
      </c>
      <c r="R7" s="53">
        <f t="shared" si="10"/>
        <v>117.59110933119743</v>
      </c>
      <c r="S7" s="53">
        <f t="shared" si="0"/>
        <v>160.71907450612952</v>
      </c>
    </row>
    <row r="8" spans="1:19">
      <c r="A8" s="16">
        <v>5</v>
      </c>
      <c r="B8" s="17">
        <v>330</v>
      </c>
      <c r="C8" s="18">
        <v>0.1825</v>
      </c>
      <c r="D8" s="19">
        <v>39</v>
      </c>
      <c r="E8" s="20">
        <f t="shared" si="1"/>
        <v>33.93</v>
      </c>
      <c r="F8" s="21">
        <f t="shared" si="2"/>
        <v>10.179</v>
      </c>
      <c r="G8" s="21">
        <f t="shared" si="3"/>
        <v>0.34163999999999994</v>
      </c>
      <c r="H8" s="22">
        <f t="shared" si="4"/>
        <v>4.4231244384546273E-2</v>
      </c>
      <c r="I8" s="22"/>
      <c r="J8" s="22">
        <f t="shared" si="5"/>
        <v>0.11197783388492727</v>
      </c>
      <c r="K8" s="22">
        <f t="shared" si="6"/>
        <v>0.15620907826947356</v>
      </c>
      <c r="L8" s="23">
        <f t="shared" si="7"/>
        <v>97.425648424110719</v>
      </c>
      <c r="M8" s="23">
        <f t="shared" si="8"/>
        <v>246.64721120028034</v>
      </c>
      <c r="N8" s="23">
        <f t="shared" si="8"/>
        <v>344.07285962439113</v>
      </c>
      <c r="P8" t="s">
        <v>59</v>
      </c>
      <c r="Q8" s="53">
        <f t="shared" si="9"/>
        <v>56.066354727411706</v>
      </c>
      <c r="R8" s="53">
        <f t="shared" si="10"/>
        <v>152.86844213055667</v>
      </c>
      <c r="S8" s="53">
        <f t="shared" si="0"/>
        <v>208.93479685796837</v>
      </c>
    </row>
    <row r="9" spans="1:19">
      <c r="A9" s="16">
        <v>6</v>
      </c>
      <c r="B9" s="17">
        <v>420</v>
      </c>
      <c r="C9" s="18">
        <v>0.1825</v>
      </c>
      <c r="D9" s="19">
        <v>42</v>
      </c>
      <c r="E9" s="20">
        <f t="shared" si="1"/>
        <v>36.54</v>
      </c>
      <c r="F9" s="21">
        <f t="shared" si="2"/>
        <v>10.962</v>
      </c>
      <c r="G9" s="21">
        <f t="shared" si="3"/>
        <v>0.36792000000000002</v>
      </c>
      <c r="H9" s="22">
        <f t="shared" si="4"/>
        <v>4.7633647798742143E-2</v>
      </c>
      <c r="I9" s="22"/>
      <c r="J9" s="22">
        <f t="shared" si="5"/>
        <v>0.12059151341453707</v>
      </c>
      <c r="K9" s="22">
        <f t="shared" si="6"/>
        <v>0.16822516121327921</v>
      </c>
      <c r="L9" s="23">
        <f t="shared" si="7"/>
        <v>104.91992907211926</v>
      </c>
      <c r="M9" s="23">
        <f t="shared" si="8"/>
        <v>265.62007360030191</v>
      </c>
      <c r="N9" s="23">
        <f t="shared" si="8"/>
        <v>370.54000267242117</v>
      </c>
      <c r="P9" t="s">
        <v>60</v>
      </c>
      <c r="Q9" s="53">
        <f t="shared" si="9"/>
        <v>60.379151244904925</v>
      </c>
      <c r="R9" s="53">
        <f t="shared" si="10"/>
        <v>164.62755306367637</v>
      </c>
      <c r="S9" s="53">
        <f t="shared" si="0"/>
        <v>225.00670430858131</v>
      </c>
    </row>
    <row r="10" spans="1:19">
      <c r="A10" s="16">
        <v>7</v>
      </c>
      <c r="B10" s="17">
        <v>510</v>
      </c>
      <c r="C10" s="18">
        <v>0.17499999999999999</v>
      </c>
      <c r="D10" s="19">
        <v>43</v>
      </c>
      <c r="E10" s="20">
        <f t="shared" si="1"/>
        <v>37.409999999999997</v>
      </c>
      <c r="F10" s="21">
        <f t="shared" si="2"/>
        <v>11.222999999999999</v>
      </c>
      <c r="G10" s="21">
        <f t="shared" si="3"/>
        <v>0.36119999999999997</v>
      </c>
      <c r="H10" s="22">
        <f t="shared" si="4"/>
        <v>4.6763626834381553E-2</v>
      </c>
      <c r="I10" s="22"/>
      <c r="J10" s="22">
        <f t="shared" si="5"/>
        <v>0.11838892869463684</v>
      </c>
      <c r="K10" s="22">
        <f t="shared" si="6"/>
        <v>0.16515255552901839</v>
      </c>
      <c r="L10" s="23">
        <f t="shared" si="7"/>
        <v>103.00358333564219</v>
      </c>
      <c r="M10" s="23">
        <f t="shared" si="8"/>
        <v>260.76856540668905</v>
      </c>
      <c r="N10" s="23">
        <f t="shared" si="8"/>
        <v>363.7721487423313</v>
      </c>
      <c r="P10" t="s">
        <v>61</v>
      </c>
      <c r="Q10" s="53">
        <f t="shared" si="9"/>
        <v>59.276335697052772</v>
      </c>
      <c r="R10" s="53">
        <f t="shared" si="10"/>
        <v>168.54725670804962</v>
      </c>
      <c r="S10" s="53">
        <f t="shared" si="0"/>
        <v>227.82359240510237</v>
      </c>
    </row>
    <row r="11" spans="1:19">
      <c r="A11" s="16">
        <v>8</v>
      </c>
      <c r="B11" s="17">
        <v>600</v>
      </c>
      <c r="C11" s="18">
        <v>0.17499999999999999</v>
      </c>
      <c r="D11" s="19">
        <v>46</v>
      </c>
      <c r="E11" s="20">
        <f t="shared" si="1"/>
        <v>40.020000000000003</v>
      </c>
      <c r="F11" s="21">
        <f t="shared" si="2"/>
        <v>12.006</v>
      </c>
      <c r="G11" s="21">
        <f t="shared" si="3"/>
        <v>0.38639999999999991</v>
      </c>
      <c r="H11" s="22">
        <f t="shared" si="4"/>
        <v>5.0026205450733753E-2</v>
      </c>
      <c r="I11" s="22"/>
      <c r="J11" s="22">
        <f t="shared" si="5"/>
        <v>0.12664862139426267</v>
      </c>
      <c r="K11" s="22">
        <f t="shared" si="6"/>
        <v>0.17667482684499641</v>
      </c>
      <c r="L11" s="23">
        <f t="shared" si="7"/>
        <v>110.18987984743117</v>
      </c>
      <c r="M11" s="23">
        <f t="shared" si="8"/>
        <v>278.96172113273713</v>
      </c>
      <c r="N11" s="23">
        <f t="shared" si="8"/>
        <v>389.15160098016833</v>
      </c>
      <c r="P11" t="s">
        <v>62</v>
      </c>
      <c r="Q11" s="53">
        <f t="shared" si="9"/>
        <v>63.411894001498304</v>
      </c>
      <c r="R11" s="53">
        <f t="shared" si="10"/>
        <v>180.3063676411694</v>
      </c>
      <c r="S11" s="53">
        <f t="shared" si="0"/>
        <v>243.7182616426677</v>
      </c>
    </row>
    <row r="12" spans="1:19">
      <c r="A12" s="16">
        <v>9</v>
      </c>
      <c r="B12" s="17">
        <v>690</v>
      </c>
      <c r="C12" s="18">
        <v>0.17499999999999999</v>
      </c>
      <c r="D12" s="19">
        <v>48</v>
      </c>
      <c r="E12" s="20">
        <f t="shared" si="1"/>
        <v>41.76</v>
      </c>
      <c r="F12" s="21">
        <f t="shared" si="2"/>
        <v>12.527999999999999</v>
      </c>
      <c r="G12" s="21">
        <f t="shared" si="3"/>
        <v>0.40319999999999995</v>
      </c>
      <c r="H12" s="22">
        <f t="shared" si="4"/>
        <v>5.2201257861635215E-2</v>
      </c>
      <c r="I12" s="22"/>
      <c r="J12" s="22">
        <f t="shared" si="5"/>
        <v>0.1321550831940132</v>
      </c>
      <c r="K12" s="22">
        <f t="shared" si="6"/>
        <v>0.18435634105564841</v>
      </c>
      <c r="L12" s="23">
        <f t="shared" si="7"/>
        <v>114.98074418862383</v>
      </c>
      <c r="M12" s="23">
        <f t="shared" si="8"/>
        <v>291.09049161676916</v>
      </c>
      <c r="N12" s="23">
        <f t="shared" si="8"/>
        <v>406.07123580539297</v>
      </c>
      <c r="P12" t="s">
        <v>63</v>
      </c>
      <c r="Q12" s="53">
        <f t="shared" si="9"/>
        <v>66.168932871128675</v>
      </c>
      <c r="R12" s="53">
        <f t="shared" si="10"/>
        <v>188.14577492991589</v>
      </c>
      <c r="S12" s="53">
        <f t="shared" si="0"/>
        <v>254.31470780104456</v>
      </c>
    </row>
    <row r="13" spans="1:19">
      <c r="A13" s="16">
        <v>10</v>
      </c>
      <c r="B13" s="17">
        <v>790</v>
      </c>
      <c r="C13" s="18">
        <v>0.17499999999999999</v>
      </c>
      <c r="D13" s="19">
        <v>51</v>
      </c>
      <c r="E13" s="20">
        <f t="shared" si="1"/>
        <v>44.37</v>
      </c>
      <c r="F13" s="21">
        <f t="shared" si="2"/>
        <v>13.310999999999998</v>
      </c>
      <c r="G13" s="21">
        <f t="shared" si="3"/>
        <v>0.42839999999999995</v>
      </c>
      <c r="H13" s="22">
        <f t="shared" si="4"/>
        <v>5.5463836477987423E-2</v>
      </c>
      <c r="I13" s="22"/>
      <c r="J13" s="22">
        <f t="shared" si="5"/>
        <v>0.14041477589363904</v>
      </c>
      <c r="K13" s="22">
        <f t="shared" si="6"/>
        <v>0.19587861237162646</v>
      </c>
      <c r="L13" s="23">
        <f t="shared" si="7"/>
        <v>122.16704070041283</v>
      </c>
      <c r="M13" s="23">
        <f t="shared" si="8"/>
        <v>309.28364734281729</v>
      </c>
      <c r="N13" s="23">
        <f t="shared" si="8"/>
        <v>431.45068804323006</v>
      </c>
      <c r="P13" t="s">
        <v>64</v>
      </c>
      <c r="Q13" s="53">
        <f t="shared" si="9"/>
        <v>70.304491175574213</v>
      </c>
      <c r="R13" s="53">
        <f t="shared" si="10"/>
        <v>199.90488586303559</v>
      </c>
      <c r="S13" s="53">
        <f t="shared" si="0"/>
        <v>270.20937703860977</v>
      </c>
    </row>
    <row r="14" spans="1:19">
      <c r="A14" s="16">
        <v>11</v>
      </c>
      <c r="B14" s="17">
        <v>880</v>
      </c>
      <c r="C14" s="18">
        <v>0.17499999999999999</v>
      </c>
      <c r="D14" s="19">
        <v>53</v>
      </c>
      <c r="E14" s="20">
        <f t="shared" si="1"/>
        <v>46.11</v>
      </c>
      <c r="F14" s="21">
        <f t="shared" si="2"/>
        <v>13.833</v>
      </c>
      <c r="G14" s="21">
        <f t="shared" si="3"/>
        <v>0.44519999999999987</v>
      </c>
      <c r="H14" s="22">
        <f t="shared" si="4"/>
        <v>5.7638888888888871E-2</v>
      </c>
      <c r="I14" s="22"/>
      <c r="J14" s="22">
        <f t="shared" si="5"/>
        <v>0.14592123769338955</v>
      </c>
      <c r="K14" s="22">
        <f t="shared" si="6"/>
        <v>0.20356012658227843</v>
      </c>
      <c r="L14" s="23">
        <f t="shared" si="7"/>
        <v>126.95790504160544</v>
      </c>
      <c r="M14" s="23">
        <f t="shared" si="8"/>
        <v>321.41241782684926</v>
      </c>
      <c r="N14" s="23">
        <f t="shared" si="8"/>
        <v>448.37032286845471</v>
      </c>
      <c r="P14" t="s">
        <v>65</v>
      </c>
      <c r="Q14" s="53">
        <f t="shared" si="9"/>
        <v>73.061530045204563</v>
      </c>
      <c r="R14" s="53">
        <f t="shared" si="10"/>
        <v>207.74429315178213</v>
      </c>
      <c r="S14" s="53">
        <f t="shared" si="0"/>
        <v>280.80582319698669</v>
      </c>
    </row>
    <row r="15" spans="1:19">
      <c r="A15" s="16">
        <v>12</v>
      </c>
      <c r="B15" s="17">
        <v>960</v>
      </c>
      <c r="C15" s="18">
        <v>0.17499999999999999</v>
      </c>
      <c r="D15" s="19">
        <v>54</v>
      </c>
      <c r="E15" s="20">
        <f t="shared" si="1"/>
        <v>46.98</v>
      </c>
      <c r="F15" s="21">
        <f t="shared" si="2"/>
        <v>14.093999999999999</v>
      </c>
      <c r="G15" s="21">
        <f t="shared" si="3"/>
        <v>0.45359999999999995</v>
      </c>
      <c r="H15" s="22">
        <f t="shared" si="4"/>
        <v>5.8726415094339623E-2</v>
      </c>
      <c r="I15" s="22"/>
      <c r="J15" s="22">
        <f t="shared" si="5"/>
        <v>0.14867446859326486</v>
      </c>
      <c r="K15" s="22">
        <f t="shared" si="6"/>
        <v>0.20740088368760448</v>
      </c>
      <c r="L15" s="23">
        <f t="shared" si="7"/>
        <v>129.35333721220181</v>
      </c>
      <c r="M15" s="23">
        <f t="shared" si="8"/>
        <v>327.47680306886537</v>
      </c>
      <c r="N15" s="23">
        <f t="shared" si="8"/>
        <v>456.83014028106714</v>
      </c>
      <c r="P15" t="s">
        <v>66</v>
      </c>
      <c r="Q15" s="53">
        <f t="shared" si="9"/>
        <v>74.440049480019752</v>
      </c>
      <c r="R15" s="53">
        <f t="shared" si="10"/>
        <v>211.66399679615535</v>
      </c>
      <c r="S15" s="53">
        <f t="shared" si="0"/>
        <v>286.1040462761751</v>
      </c>
    </row>
    <row r="16" spans="1:19">
      <c r="A16" s="16">
        <v>13</v>
      </c>
      <c r="B16" s="17">
        <v>1030</v>
      </c>
      <c r="C16" s="18">
        <v>0.16</v>
      </c>
      <c r="D16" s="19">
        <v>56</v>
      </c>
      <c r="E16" s="20">
        <f t="shared" si="1"/>
        <v>48.72</v>
      </c>
      <c r="F16" s="21">
        <f t="shared" si="2"/>
        <v>14.616</v>
      </c>
      <c r="G16" s="21">
        <f t="shared" si="3"/>
        <v>0.43008000000000002</v>
      </c>
      <c r="H16" s="22">
        <f t="shared" si="4"/>
        <v>5.5681341719077578E-2</v>
      </c>
      <c r="I16" s="22"/>
      <c r="J16" s="22">
        <f t="shared" si="5"/>
        <v>0.14096542207361412</v>
      </c>
      <c r="K16" s="22">
        <f t="shared" si="6"/>
        <v>0.19664676379269169</v>
      </c>
      <c r="L16" s="23">
        <f t="shared" si="7"/>
        <v>122.64612713453211</v>
      </c>
      <c r="M16" s="23">
        <f t="shared" si="8"/>
        <v>310.49652439122053</v>
      </c>
      <c r="N16" s="23">
        <f t="shared" si="8"/>
        <v>433.14265152575263</v>
      </c>
      <c r="P16" t="s">
        <v>67</v>
      </c>
      <c r="Q16" s="53">
        <f t="shared" si="9"/>
        <v>70.580195062537271</v>
      </c>
      <c r="R16" s="53">
        <f t="shared" si="10"/>
        <v>219.50340408490186</v>
      </c>
      <c r="S16" s="53">
        <f t="shared" si="0"/>
        <v>290.08359914743914</v>
      </c>
    </row>
    <row r="17" spans="1:27">
      <c r="A17" s="16">
        <v>14</v>
      </c>
      <c r="B17" s="17">
        <v>1105</v>
      </c>
      <c r="C17" s="18">
        <v>0.16</v>
      </c>
      <c r="D17" s="19">
        <v>57</v>
      </c>
      <c r="E17" s="20">
        <f t="shared" si="1"/>
        <v>49.589999999999996</v>
      </c>
      <c r="F17" s="21">
        <f t="shared" si="2"/>
        <v>14.876999999999999</v>
      </c>
      <c r="G17" s="21">
        <f t="shared" si="3"/>
        <v>0.43776000000000004</v>
      </c>
      <c r="H17" s="22">
        <f t="shared" si="4"/>
        <v>5.6675651392632538E-2</v>
      </c>
      <c r="I17" s="22"/>
      <c r="J17" s="22">
        <f t="shared" si="5"/>
        <v>0.14348266175350008</v>
      </c>
      <c r="K17" s="22">
        <f t="shared" si="6"/>
        <v>0.20015831314613261</v>
      </c>
      <c r="L17" s="23">
        <f t="shared" si="7"/>
        <v>124.83623654764875</v>
      </c>
      <c r="M17" s="23">
        <f t="shared" si="8"/>
        <v>316.04110518392088</v>
      </c>
      <c r="N17" s="23">
        <f t="shared" si="8"/>
        <v>440.87734173156957</v>
      </c>
      <c r="P17" t="s">
        <v>68</v>
      </c>
      <c r="Q17" s="53">
        <f t="shared" si="9"/>
        <v>71.840555688654007</v>
      </c>
      <c r="R17" s="53">
        <f t="shared" si="10"/>
        <v>223.4231077292751</v>
      </c>
      <c r="S17" s="53">
        <f t="shared" si="0"/>
        <v>295.26366341792914</v>
      </c>
    </row>
    <row r="18" spans="1:27">
      <c r="A18" s="16">
        <v>15</v>
      </c>
      <c r="B18" s="17">
        <v>1170</v>
      </c>
      <c r="C18" s="18">
        <v>0.16</v>
      </c>
      <c r="D18" s="19">
        <v>59</v>
      </c>
      <c r="E18" s="20">
        <f t="shared" si="1"/>
        <v>51.33</v>
      </c>
      <c r="F18" s="21">
        <f t="shared" si="2"/>
        <v>15.398999999999999</v>
      </c>
      <c r="G18" s="21">
        <f t="shared" si="3"/>
        <v>0.45311999999999997</v>
      </c>
      <c r="H18" s="22">
        <f t="shared" si="4"/>
        <v>5.8664270739742438E-2</v>
      </c>
      <c r="I18" s="22"/>
      <c r="J18" s="22">
        <f t="shared" si="5"/>
        <v>0.14851714111327199</v>
      </c>
      <c r="K18" s="22">
        <f t="shared" si="6"/>
        <v>0.20718141185301442</v>
      </c>
      <c r="L18" s="23">
        <f t="shared" si="7"/>
        <v>129.21645537388201</v>
      </c>
      <c r="M18" s="23">
        <f t="shared" si="8"/>
        <v>327.13026676932157</v>
      </c>
      <c r="N18" s="23">
        <f t="shared" si="8"/>
        <v>456.34672214320358</v>
      </c>
      <c r="P18" t="s">
        <v>69</v>
      </c>
      <c r="Q18" s="53">
        <f t="shared" si="9"/>
        <v>74.361276940887464</v>
      </c>
      <c r="R18" s="53">
        <f t="shared" si="10"/>
        <v>231.26251501802165</v>
      </c>
      <c r="S18" s="53">
        <f t="shared" si="0"/>
        <v>305.62379195890912</v>
      </c>
    </row>
    <row r="19" spans="1:27">
      <c r="A19" s="16">
        <v>16</v>
      </c>
      <c r="B19" s="17">
        <v>1210</v>
      </c>
      <c r="C19" s="18">
        <v>0.16500000000000001</v>
      </c>
      <c r="D19" s="19">
        <v>61</v>
      </c>
      <c r="E19" s="20">
        <f t="shared" si="1"/>
        <v>53.07</v>
      </c>
      <c r="F19" s="21">
        <f t="shared" si="2"/>
        <v>15.920999999999999</v>
      </c>
      <c r="G19" s="21">
        <f t="shared" si="3"/>
        <v>0.48312000000000005</v>
      </c>
      <c r="H19" s="22">
        <f t="shared" si="4"/>
        <v>6.254829290206651E-2</v>
      </c>
      <c r="I19" s="22"/>
      <c r="J19" s="22">
        <f t="shared" si="5"/>
        <v>0.15835010861282661</v>
      </c>
      <c r="K19" s="22">
        <f t="shared" si="6"/>
        <v>0.22089840151489312</v>
      </c>
      <c r="L19" s="23">
        <f t="shared" si="7"/>
        <v>137.77157026886897</v>
      </c>
      <c r="M19" s="23">
        <f t="shared" si="8"/>
        <v>348.78878549080753</v>
      </c>
      <c r="N19" s="23">
        <f t="shared" si="8"/>
        <v>486.5603557596765</v>
      </c>
      <c r="P19" t="s">
        <v>70</v>
      </c>
      <c r="Q19" s="53">
        <f t="shared" si="9"/>
        <v>79.284560636655982</v>
      </c>
      <c r="R19" s="53">
        <f t="shared" si="10"/>
        <v>239.1019223067681</v>
      </c>
      <c r="S19" s="53">
        <f t="shared" si="0"/>
        <v>318.38648294342408</v>
      </c>
    </row>
    <row r="20" spans="1:27">
      <c r="A20" s="16">
        <v>17</v>
      </c>
      <c r="B20" s="17">
        <v>1250</v>
      </c>
      <c r="C20" s="18">
        <v>0.16500000000000001</v>
      </c>
      <c r="D20" s="19">
        <v>62</v>
      </c>
      <c r="E20" s="20">
        <f t="shared" si="1"/>
        <v>53.94</v>
      </c>
      <c r="F20" s="21">
        <f t="shared" si="2"/>
        <v>16.181999999999999</v>
      </c>
      <c r="G20" s="21">
        <f t="shared" si="3"/>
        <v>0.49103999999999998</v>
      </c>
      <c r="H20" s="22">
        <f t="shared" si="4"/>
        <v>6.3573674752920042E-2</v>
      </c>
      <c r="I20" s="22"/>
      <c r="J20" s="22">
        <f t="shared" si="5"/>
        <v>0.16094601203270897</v>
      </c>
      <c r="K20" s="22">
        <f t="shared" si="6"/>
        <v>0.224519686785629</v>
      </c>
      <c r="L20" s="23">
        <f t="shared" si="7"/>
        <v>140.03012060114548</v>
      </c>
      <c r="M20" s="23">
        <f t="shared" si="8"/>
        <v>354.50663443327966</v>
      </c>
      <c r="N20" s="23">
        <f t="shared" si="8"/>
        <v>494.53675503442508</v>
      </c>
      <c r="P20" t="s">
        <v>71</v>
      </c>
      <c r="Q20" s="53">
        <f t="shared" si="9"/>
        <v>80.584307532338869</v>
      </c>
      <c r="R20" s="53">
        <f t="shared" si="10"/>
        <v>243.02162595114135</v>
      </c>
      <c r="S20" s="53">
        <f t="shared" si="0"/>
        <v>323.60593348348021</v>
      </c>
    </row>
    <row r="22" spans="1:27">
      <c r="A22" s="24" t="s">
        <v>25</v>
      </c>
      <c r="F22" s="54"/>
    </row>
    <row r="24" spans="1:27">
      <c r="A24" s="25" t="s">
        <v>26</v>
      </c>
      <c r="C24" s="26" t="s">
        <v>27</v>
      </c>
      <c r="D24" s="26"/>
      <c r="K24" t="s">
        <v>55</v>
      </c>
      <c r="L24" t="s">
        <v>56</v>
      </c>
      <c r="M24" t="s">
        <v>57</v>
      </c>
      <c r="N24" t="s">
        <v>58</v>
      </c>
      <c r="O24" t="s">
        <v>59</v>
      </c>
      <c r="P24" t="s">
        <v>60</v>
      </c>
      <c r="Q24" t="s">
        <v>61</v>
      </c>
      <c r="R24" t="s">
        <v>62</v>
      </c>
      <c r="S24" t="s">
        <v>63</v>
      </c>
      <c r="T24" t="s">
        <v>64</v>
      </c>
      <c r="U24" t="s">
        <v>65</v>
      </c>
      <c r="V24" t="s">
        <v>66</v>
      </c>
      <c r="W24" t="s">
        <v>67</v>
      </c>
      <c r="X24" t="s">
        <v>68</v>
      </c>
      <c r="Y24" t="s">
        <v>69</v>
      </c>
      <c r="Z24" t="s">
        <v>70</v>
      </c>
      <c r="AA24" t="s">
        <v>71</v>
      </c>
    </row>
    <row r="25" spans="1:27">
      <c r="A25" s="25" t="s">
        <v>28</v>
      </c>
      <c r="C25" s="17">
        <v>106</v>
      </c>
      <c r="D25" s="26" t="s">
        <v>11</v>
      </c>
      <c r="F25" t="s">
        <v>41</v>
      </c>
      <c r="K25" s="55">
        <f>$F$4/0.25</f>
        <v>15.138</v>
      </c>
      <c r="L25" s="55">
        <f>$F$5/0.25</f>
        <v>17.225999999999999</v>
      </c>
      <c r="M25" s="55">
        <f>$F$6/0.25</f>
        <v>19.836000000000002</v>
      </c>
      <c r="N25" s="55">
        <f>$F$7/0.25</f>
        <v>31.32</v>
      </c>
      <c r="O25" s="55">
        <f>$F$8/0.25</f>
        <v>40.716000000000001</v>
      </c>
      <c r="P25" s="55">
        <f>$F$9/0.25</f>
        <v>43.847999999999999</v>
      </c>
      <c r="Q25" s="55">
        <f>$F$10/0.25</f>
        <v>44.891999999999996</v>
      </c>
      <c r="R25" s="55">
        <f>$F$11/0.25</f>
        <v>48.024000000000001</v>
      </c>
      <c r="S25" s="55">
        <f>$F$12/0.25</f>
        <v>50.111999999999995</v>
      </c>
      <c r="T25" s="55">
        <f>$F$13/0.25</f>
        <v>53.243999999999993</v>
      </c>
      <c r="U25" s="55">
        <f>$F$14/0.25</f>
        <v>55.332000000000001</v>
      </c>
      <c r="V25" s="55">
        <f t="shared" ref="V25" si="11">$F$15/0.25</f>
        <v>56.375999999999998</v>
      </c>
      <c r="W25" s="55">
        <f>$F$16/0.25</f>
        <v>58.463999999999999</v>
      </c>
      <c r="X25" s="55">
        <f>$F$17/0.25</f>
        <v>59.507999999999996</v>
      </c>
      <c r="Y25" s="55">
        <f>$F$18/0.25</f>
        <v>61.595999999999997</v>
      </c>
      <c r="Z25" s="55">
        <f>$F$19/0.25</f>
        <v>63.683999999999997</v>
      </c>
      <c r="AA25" s="55">
        <f>$F$20/0.25</f>
        <v>64.727999999999994</v>
      </c>
    </row>
    <row r="26" spans="1:27">
      <c r="A26" s="25" t="s">
        <v>20</v>
      </c>
      <c r="C26" s="17">
        <f>C25*0.3*15.3%/6.25</f>
        <v>0.77846399999999993</v>
      </c>
      <c r="F26" t="s">
        <v>42</v>
      </c>
      <c r="K26" s="56">
        <v>0.05</v>
      </c>
      <c r="L26" s="56">
        <v>0.05</v>
      </c>
      <c r="M26" s="56">
        <v>0.05</v>
      </c>
      <c r="N26" s="56">
        <v>0.05</v>
      </c>
      <c r="O26" s="56">
        <v>0.05</v>
      </c>
      <c r="P26" s="56">
        <v>0.05</v>
      </c>
      <c r="Q26" s="56">
        <v>0.05</v>
      </c>
      <c r="R26" s="56">
        <v>0.05</v>
      </c>
      <c r="S26" s="56">
        <v>0.05</v>
      </c>
      <c r="T26" s="56">
        <v>0.05</v>
      </c>
      <c r="U26" s="56">
        <v>0.05</v>
      </c>
      <c r="V26" s="56">
        <v>0.05</v>
      </c>
      <c r="W26" s="56">
        <v>0.05</v>
      </c>
      <c r="X26" s="56">
        <v>0.05</v>
      </c>
      <c r="Y26" s="56">
        <v>0.05</v>
      </c>
      <c r="Z26" s="56">
        <v>0.05</v>
      </c>
      <c r="AA26" s="56">
        <v>0.05</v>
      </c>
    </row>
    <row r="27" spans="1:27">
      <c r="A27" s="25" t="s">
        <v>29</v>
      </c>
      <c r="C27" s="17">
        <v>8.3000000000000004E-2</v>
      </c>
      <c r="F27" t="s">
        <v>43</v>
      </c>
      <c r="K27" s="56">
        <v>0.15</v>
      </c>
      <c r="L27" s="56">
        <v>0.15</v>
      </c>
      <c r="M27" s="56">
        <v>0.15</v>
      </c>
      <c r="N27" s="56">
        <v>0.15</v>
      </c>
      <c r="O27" s="56">
        <v>0.15</v>
      </c>
      <c r="P27" s="56">
        <v>0.15</v>
      </c>
      <c r="Q27" s="56">
        <v>0.15</v>
      </c>
      <c r="R27" s="56">
        <v>0.15</v>
      </c>
      <c r="S27" s="56">
        <v>0.15</v>
      </c>
      <c r="T27" s="56">
        <v>0.15</v>
      </c>
      <c r="U27" s="56">
        <v>0.15</v>
      </c>
      <c r="V27" s="56">
        <v>0.15</v>
      </c>
      <c r="W27" s="56">
        <v>0.15</v>
      </c>
      <c r="X27" s="56">
        <v>0.15</v>
      </c>
      <c r="Y27" s="56">
        <v>0.15</v>
      </c>
      <c r="Z27" s="56">
        <v>0.15</v>
      </c>
      <c r="AA27" s="56">
        <v>0.15</v>
      </c>
    </row>
    <row r="28" spans="1:27">
      <c r="A28" s="26" t="s">
        <v>30</v>
      </c>
      <c r="C28" s="27">
        <f>C27/C26</f>
        <v>0.10662021622066019</v>
      </c>
      <c r="F28" t="s">
        <v>44</v>
      </c>
      <c r="K28" s="56">
        <v>88</v>
      </c>
      <c r="L28" s="56">
        <v>88</v>
      </c>
      <c r="M28" s="56">
        <v>88</v>
      </c>
      <c r="N28" s="56">
        <v>88</v>
      </c>
      <c r="O28" s="56">
        <v>88</v>
      </c>
      <c r="P28" s="56">
        <v>88</v>
      </c>
      <c r="Q28" s="56">
        <v>88</v>
      </c>
      <c r="R28" s="56">
        <v>88</v>
      </c>
      <c r="S28" s="56">
        <v>88</v>
      </c>
      <c r="T28" s="56">
        <v>88</v>
      </c>
      <c r="U28" s="56">
        <v>88</v>
      </c>
      <c r="V28" s="56">
        <v>88</v>
      </c>
      <c r="W28" s="56">
        <v>88</v>
      </c>
      <c r="X28" s="56">
        <v>88</v>
      </c>
      <c r="Y28" s="56">
        <v>88</v>
      </c>
      <c r="Z28" s="56">
        <v>88</v>
      </c>
      <c r="AA28" s="56">
        <v>88</v>
      </c>
    </row>
    <row r="29" spans="1:27">
      <c r="A29" s="24" t="s">
        <v>31</v>
      </c>
      <c r="C29" s="17">
        <v>0.21</v>
      </c>
      <c r="F29" t="s">
        <v>45</v>
      </c>
      <c r="K29" s="56">
        <v>682</v>
      </c>
      <c r="L29" s="56">
        <v>682</v>
      </c>
      <c r="M29" s="56">
        <v>682</v>
      </c>
      <c r="N29" s="56">
        <v>682</v>
      </c>
      <c r="O29" s="56">
        <v>682</v>
      </c>
      <c r="P29" s="56">
        <v>682</v>
      </c>
      <c r="Q29" s="56">
        <v>682</v>
      </c>
      <c r="R29" s="56">
        <v>682</v>
      </c>
      <c r="S29" s="56">
        <v>682</v>
      </c>
      <c r="T29" s="56">
        <v>682</v>
      </c>
      <c r="U29" s="56">
        <v>682</v>
      </c>
      <c r="V29" s="56">
        <v>682</v>
      </c>
      <c r="W29" s="56">
        <v>682</v>
      </c>
      <c r="X29" s="56">
        <v>682</v>
      </c>
      <c r="Y29" s="56">
        <v>682</v>
      </c>
      <c r="Z29" s="56">
        <v>682</v>
      </c>
      <c r="AA29" s="56">
        <v>682</v>
      </c>
    </row>
    <row r="30" spans="1:27">
      <c r="A30" s="26" t="s">
        <v>32</v>
      </c>
      <c r="C30" s="17">
        <f>C27/C29</f>
        <v>0.39523809523809528</v>
      </c>
      <c r="F30" t="s">
        <v>46</v>
      </c>
      <c r="K30" s="57">
        <f>K28*K29</f>
        <v>60016</v>
      </c>
      <c r="L30" s="57">
        <f t="shared" ref="L30:AA30" si="12">L28*L29</f>
        <v>60016</v>
      </c>
      <c r="M30" s="57">
        <f t="shared" si="12"/>
        <v>60016</v>
      </c>
      <c r="N30" s="57">
        <f t="shared" si="12"/>
        <v>60016</v>
      </c>
      <c r="O30" s="57">
        <f t="shared" si="12"/>
        <v>60016</v>
      </c>
      <c r="P30" s="57">
        <f t="shared" si="12"/>
        <v>60016</v>
      </c>
      <c r="Q30" s="57">
        <f t="shared" si="12"/>
        <v>60016</v>
      </c>
      <c r="R30" s="57">
        <f t="shared" si="12"/>
        <v>60016</v>
      </c>
      <c r="S30" s="57">
        <f t="shared" si="12"/>
        <v>60016</v>
      </c>
      <c r="T30" s="57">
        <f t="shared" si="12"/>
        <v>60016</v>
      </c>
      <c r="U30" s="57">
        <f t="shared" si="12"/>
        <v>60016</v>
      </c>
      <c r="V30" s="57">
        <f t="shared" si="12"/>
        <v>60016</v>
      </c>
      <c r="W30" s="57">
        <f t="shared" si="12"/>
        <v>60016</v>
      </c>
      <c r="X30" s="57">
        <f t="shared" si="12"/>
        <v>60016</v>
      </c>
      <c r="Y30" s="57">
        <f t="shared" si="12"/>
        <v>60016</v>
      </c>
      <c r="Z30" s="57">
        <f t="shared" si="12"/>
        <v>60016</v>
      </c>
      <c r="AA30" s="57">
        <f t="shared" si="12"/>
        <v>60016</v>
      </c>
    </row>
    <row r="31" spans="1:27">
      <c r="F31" t="s">
        <v>47</v>
      </c>
      <c r="K31" s="66">
        <f>K30/K25</f>
        <v>3964.5924164354606</v>
      </c>
      <c r="L31" s="66">
        <f t="shared" ref="L31:AA31" si="13">L30/L25</f>
        <v>3484.0357598978289</v>
      </c>
      <c r="M31" s="66">
        <f t="shared" si="13"/>
        <v>3025.6100020165354</v>
      </c>
      <c r="N31" s="66">
        <f t="shared" si="13"/>
        <v>1916.2196679438059</v>
      </c>
      <c r="O31" s="66">
        <f t="shared" si="13"/>
        <v>1474.0151291875429</v>
      </c>
      <c r="P31" s="66">
        <f t="shared" si="13"/>
        <v>1368.7283342455758</v>
      </c>
      <c r="Q31" s="66">
        <f t="shared" si="13"/>
        <v>1336.8974427514927</v>
      </c>
      <c r="R31" s="66">
        <f t="shared" si="13"/>
        <v>1249.7084790937863</v>
      </c>
      <c r="S31" s="66">
        <f t="shared" si="13"/>
        <v>1197.6372924648788</v>
      </c>
      <c r="T31" s="66">
        <f t="shared" si="13"/>
        <v>1127.1880399669449</v>
      </c>
      <c r="U31" s="66">
        <f t="shared" si="13"/>
        <v>1084.6526422323429</v>
      </c>
      <c r="V31" s="66">
        <f t="shared" si="13"/>
        <v>1064.5664821910034</v>
      </c>
      <c r="W31" s="66">
        <f t="shared" si="13"/>
        <v>1026.5462506841818</v>
      </c>
      <c r="X31" s="66">
        <f t="shared" si="13"/>
        <v>1008.5366673388453</v>
      </c>
      <c r="Y31" s="66">
        <f t="shared" si="13"/>
        <v>974.3489837002403</v>
      </c>
      <c r="Z31" s="66">
        <f t="shared" si="13"/>
        <v>942.40311538219964</v>
      </c>
      <c r="AA31" s="66">
        <f t="shared" si="13"/>
        <v>927.20306513409969</v>
      </c>
    </row>
    <row r="32" spans="1:27">
      <c r="F32" t="s">
        <v>48</v>
      </c>
      <c r="K32" s="58">
        <f>K26*K29/K31</f>
        <v>8.6011363636363629E-3</v>
      </c>
      <c r="L32" s="58">
        <f t="shared" ref="L32:Z32" si="14">L26*L29/L31</f>
        <v>9.7875000000000011E-3</v>
      </c>
      <c r="M32" s="58">
        <f t="shared" si="14"/>
        <v>1.1270454545454547E-2</v>
      </c>
      <c r="N32" s="58">
        <f t="shared" si="14"/>
        <v>1.7795454545454545E-2</v>
      </c>
      <c r="O32" s="58">
        <f t="shared" si="14"/>
        <v>2.313409090909091E-2</v>
      </c>
      <c r="P32" s="58">
        <f t="shared" si="14"/>
        <v>2.4913636363636363E-2</v>
      </c>
      <c r="Q32" s="58">
        <f t="shared" si="14"/>
        <v>2.5506818181818179E-2</v>
      </c>
      <c r="R32" s="58">
        <f t="shared" si="14"/>
        <v>2.728636363636364E-2</v>
      </c>
      <c r="S32" s="58">
        <f t="shared" si="14"/>
        <v>2.8472727272727271E-2</v>
      </c>
      <c r="T32" s="58">
        <f t="shared" si="14"/>
        <v>3.0252272727272721E-2</v>
      </c>
      <c r="U32" s="58">
        <f t="shared" si="14"/>
        <v>3.1438636363636363E-2</v>
      </c>
      <c r="V32" s="58">
        <f t="shared" si="14"/>
        <v>3.2031818181818182E-2</v>
      </c>
      <c r="W32" s="58">
        <f t="shared" si="14"/>
        <v>3.3218181818181813E-2</v>
      </c>
      <c r="X32" s="58">
        <f t="shared" si="14"/>
        <v>3.3811363636363632E-2</v>
      </c>
      <c r="Y32" s="58">
        <f t="shared" si="14"/>
        <v>3.4997727272727271E-2</v>
      </c>
      <c r="Z32" s="58">
        <f t="shared" si="14"/>
        <v>3.6184090909090909E-2</v>
      </c>
      <c r="AA32" s="58">
        <f>AA26*AA29/AA31</f>
        <v>3.6777272727272728E-2</v>
      </c>
    </row>
    <row r="33" spans="1:27">
      <c r="A33" s="63" t="s">
        <v>53</v>
      </c>
      <c r="C33" s="17">
        <v>5.8000000000000003E-2</v>
      </c>
      <c r="F33" s="59" t="s">
        <v>49</v>
      </c>
      <c r="G33" s="59"/>
      <c r="H33" s="59"/>
      <c r="I33" s="59"/>
      <c r="J33" s="59"/>
      <c r="K33" s="60">
        <f>K27*K29/K31</f>
        <v>2.5803409090909089E-2</v>
      </c>
      <c r="L33" s="60">
        <f t="shared" ref="L33:AA33" si="15">L27*L29/L31</f>
        <v>2.93625E-2</v>
      </c>
      <c r="M33" s="60">
        <f t="shared" si="15"/>
        <v>3.3811363636363639E-2</v>
      </c>
      <c r="N33" s="60">
        <f t="shared" si="15"/>
        <v>5.3386363636363635E-2</v>
      </c>
      <c r="O33" s="60">
        <f t="shared" si="15"/>
        <v>6.9402272727272729E-2</v>
      </c>
      <c r="P33" s="60">
        <f t="shared" si="15"/>
        <v>7.474090909090908E-2</v>
      </c>
      <c r="Q33" s="60">
        <f t="shared" si="15"/>
        <v>7.652045454545453E-2</v>
      </c>
      <c r="R33" s="60">
        <f t="shared" si="15"/>
        <v>8.1859090909090909E-2</v>
      </c>
      <c r="S33" s="60">
        <f t="shared" si="15"/>
        <v>8.541818181818181E-2</v>
      </c>
      <c r="T33" s="60">
        <f t="shared" si="15"/>
        <v>9.0756818181818161E-2</v>
      </c>
      <c r="U33" s="60">
        <f t="shared" si="15"/>
        <v>9.4315909090909089E-2</v>
      </c>
      <c r="V33" s="60">
        <f t="shared" si="15"/>
        <v>9.6095454545454526E-2</v>
      </c>
      <c r="W33" s="60">
        <f t="shared" si="15"/>
        <v>9.965454545454544E-2</v>
      </c>
      <c r="X33" s="60">
        <f t="shared" si="15"/>
        <v>0.10143409090909089</v>
      </c>
      <c r="Y33" s="60">
        <f t="shared" si="15"/>
        <v>0.10499318181818182</v>
      </c>
      <c r="Z33" s="60">
        <f t="shared" si="15"/>
        <v>0.10855227272727272</v>
      </c>
      <c r="AA33" s="60">
        <f t="shared" si="15"/>
        <v>0.11033181818181817</v>
      </c>
    </row>
    <row r="34" spans="1:27">
      <c r="A34" s="17" t="s">
        <v>54</v>
      </c>
      <c r="F34" s="59" t="s">
        <v>50</v>
      </c>
      <c r="G34" s="59"/>
      <c r="H34" s="59"/>
      <c r="I34" s="59"/>
      <c r="J34" s="59"/>
      <c r="K34" s="61">
        <f>$C$35*$G$4</f>
        <v>1.0371192502158099E-2</v>
      </c>
      <c r="L34" s="61">
        <f>$C$35*$G$5</f>
        <v>1.1801701812800594E-2</v>
      </c>
      <c r="M34" s="61">
        <f>$C$35*$G$6</f>
        <v>1.3589838451103715E-2</v>
      </c>
      <c r="N34" s="61">
        <f>$C$35*$G$7</f>
        <v>1.9580096189419166E-2</v>
      </c>
      <c r="O34" s="61">
        <f>$C$35*$G$8</f>
        <v>2.5454125046244912E-2</v>
      </c>
      <c r="P34" s="61">
        <f>$C$35*$G$9</f>
        <v>2.7412134665186837E-2</v>
      </c>
      <c r="Q34" s="61">
        <f>$C$35*$G$10</f>
        <v>2.6911456406461958E-2</v>
      </c>
      <c r="R34" s="61">
        <f>$C$35*$G$11</f>
        <v>2.8788999876680231E-2</v>
      </c>
      <c r="S34" s="61">
        <f>$C$35*$G$12</f>
        <v>3.0040695523492419E-2</v>
      </c>
      <c r="T34" s="61">
        <f>$C$35*$G$13</f>
        <v>3.1918238993710692E-2</v>
      </c>
      <c r="U34" s="61">
        <f>$C$35*$G$14</f>
        <v>3.3169934640522869E-2</v>
      </c>
      <c r="V34" s="61">
        <f t="shared" ref="V34" si="16">$C$35*$G$15</f>
        <v>3.3795782463928968E-2</v>
      </c>
      <c r="W34" s="61">
        <f>$C$35*$G$16</f>
        <v>3.2043408558391918E-2</v>
      </c>
      <c r="X34" s="61">
        <f>$C$35*$G$17</f>
        <v>3.261561228264892E-2</v>
      </c>
      <c r="Y34" s="61">
        <f>$C$35*$G$18</f>
        <v>3.376001973116291E-2</v>
      </c>
      <c r="Z34" s="61">
        <f>$C$35*$G$19</f>
        <v>3.5995190529041814E-2</v>
      </c>
      <c r="AA34" s="61">
        <f>$C$35*$G$20</f>
        <v>3.6585275619681841E-2</v>
      </c>
    </row>
    <row r="35" spans="1:27">
      <c r="A35" s="63" t="s">
        <v>30</v>
      </c>
      <c r="C35" s="27">
        <f>C33/C26</f>
        <v>7.4505693262630013E-2</v>
      </c>
      <c r="F35" s="59" t="s">
        <v>51</v>
      </c>
      <c r="G35" s="59"/>
      <c r="H35" s="59"/>
      <c r="I35" s="59"/>
      <c r="J35" s="59"/>
      <c r="K35" s="62">
        <f>K33+K34</f>
        <v>3.6174601593067186E-2</v>
      </c>
      <c r="L35" s="62">
        <f t="shared" ref="L35:AA35" si="17">L33+L34</f>
        <v>4.1164201812800595E-2</v>
      </c>
      <c r="M35" s="62">
        <f t="shared" si="17"/>
        <v>4.7401202087467356E-2</v>
      </c>
      <c r="N35" s="62">
        <f t="shared" si="17"/>
        <v>7.2966459825782801E-2</v>
      </c>
      <c r="O35" s="62">
        <f t="shared" si="17"/>
        <v>9.4856397773517648E-2</v>
      </c>
      <c r="P35" s="62">
        <f t="shared" si="17"/>
        <v>0.10215304375609592</v>
      </c>
      <c r="Q35" s="62">
        <f t="shared" si="17"/>
        <v>0.10343191095191649</v>
      </c>
      <c r="R35" s="62">
        <f t="shared" si="17"/>
        <v>0.11064809078577115</v>
      </c>
      <c r="S35" s="62">
        <f t="shared" si="17"/>
        <v>0.11545887734167423</v>
      </c>
      <c r="T35" s="62">
        <f t="shared" si="17"/>
        <v>0.12267505717552885</v>
      </c>
      <c r="U35" s="62">
        <f t="shared" si="17"/>
        <v>0.12748584373143196</v>
      </c>
      <c r="V35" s="62">
        <f t="shared" si="17"/>
        <v>0.12989123700938349</v>
      </c>
      <c r="W35" s="62">
        <f t="shared" si="17"/>
        <v>0.13169795401293735</v>
      </c>
      <c r="X35" s="62">
        <f t="shared" si="17"/>
        <v>0.13404970319173981</v>
      </c>
      <c r="Y35" s="62">
        <f t="shared" si="17"/>
        <v>0.13875320154934473</v>
      </c>
      <c r="Z35" s="62">
        <f t="shared" si="17"/>
        <v>0.14454746325631454</v>
      </c>
      <c r="AA35" s="62">
        <f t="shared" si="17"/>
        <v>0.1469170938015</v>
      </c>
    </row>
    <row r="38" spans="1:27">
      <c r="I38" s="95" t="s">
        <v>52</v>
      </c>
      <c r="J38" s="65" t="s">
        <v>37</v>
      </c>
      <c r="K38" s="64">
        <f>K33*10^6/454</f>
        <v>56.835702843412086</v>
      </c>
      <c r="L38" s="64">
        <f t="shared" ref="L38:AA39" si="18">L33*10^6/454</f>
        <v>64.675110132158594</v>
      </c>
      <c r="M38" s="64">
        <f t="shared" si="18"/>
        <v>74.474369243091715</v>
      </c>
      <c r="N38" s="64">
        <f t="shared" si="18"/>
        <v>117.59110933119743</v>
      </c>
      <c r="O38" s="64">
        <f t="shared" si="18"/>
        <v>152.86844213055667</v>
      </c>
      <c r="P38" s="64">
        <f t="shared" si="18"/>
        <v>164.62755306367637</v>
      </c>
      <c r="Q38" s="64">
        <f t="shared" si="18"/>
        <v>168.54725670804962</v>
      </c>
      <c r="R38" s="64">
        <f t="shared" si="18"/>
        <v>180.3063676411694</v>
      </c>
      <c r="S38" s="64">
        <f t="shared" si="18"/>
        <v>188.14577492991589</v>
      </c>
      <c r="T38" s="64">
        <f t="shared" si="18"/>
        <v>199.90488586303559</v>
      </c>
      <c r="U38" s="64">
        <f t="shared" si="18"/>
        <v>207.74429315178213</v>
      </c>
      <c r="V38" s="64">
        <f t="shared" si="18"/>
        <v>211.66399679615535</v>
      </c>
      <c r="W38" s="64">
        <f t="shared" si="18"/>
        <v>219.50340408490186</v>
      </c>
      <c r="X38" s="64">
        <f t="shared" si="18"/>
        <v>223.4231077292751</v>
      </c>
      <c r="Y38" s="64">
        <f t="shared" si="18"/>
        <v>231.26251501802165</v>
      </c>
      <c r="Z38" s="64">
        <f t="shared" si="18"/>
        <v>239.1019223067681</v>
      </c>
      <c r="AA38" s="64">
        <f t="shared" si="18"/>
        <v>243.02162595114135</v>
      </c>
    </row>
    <row r="39" spans="1:27">
      <c r="I39" s="95"/>
      <c r="J39" s="65" t="s">
        <v>33</v>
      </c>
      <c r="K39" s="64">
        <f>K34*10^6/454</f>
        <v>22.844036348365858</v>
      </c>
      <c r="L39" s="64">
        <f t="shared" si="18"/>
        <v>25.994937913657694</v>
      </c>
      <c r="M39" s="64">
        <f t="shared" si="18"/>
        <v>29.933564870272498</v>
      </c>
      <c r="N39" s="64">
        <f t="shared" si="18"/>
        <v>43.127965174932086</v>
      </c>
      <c r="O39" s="64">
        <f t="shared" si="18"/>
        <v>56.066354727411706</v>
      </c>
      <c r="P39" s="64">
        <f t="shared" si="18"/>
        <v>60.379151244904925</v>
      </c>
      <c r="Q39" s="64">
        <f t="shared" si="18"/>
        <v>59.276335697052772</v>
      </c>
      <c r="R39" s="64">
        <f t="shared" si="18"/>
        <v>63.411894001498304</v>
      </c>
      <c r="S39" s="64">
        <f t="shared" si="18"/>
        <v>66.168932871128675</v>
      </c>
      <c r="T39" s="64">
        <f t="shared" si="18"/>
        <v>70.304491175574213</v>
      </c>
      <c r="U39" s="64">
        <f t="shared" si="18"/>
        <v>73.061530045204563</v>
      </c>
      <c r="V39" s="64">
        <f t="shared" si="18"/>
        <v>74.440049480019752</v>
      </c>
      <c r="W39" s="64">
        <f t="shared" si="18"/>
        <v>70.580195062537271</v>
      </c>
      <c r="X39" s="64">
        <f t="shared" si="18"/>
        <v>71.840555688654007</v>
      </c>
      <c r="Y39" s="64">
        <f t="shared" si="18"/>
        <v>74.361276940887464</v>
      </c>
      <c r="Z39" s="64">
        <f t="shared" si="18"/>
        <v>79.284560636655982</v>
      </c>
      <c r="AA39" s="64">
        <f t="shared" si="18"/>
        <v>80.584307532338869</v>
      </c>
    </row>
    <row r="40" spans="1:27">
      <c r="I40" s="95"/>
      <c r="J40" s="65" t="s">
        <v>38</v>
      </c>
      <c r="K40" s="64">
        <f>SUM(K38:K39)</f>
        <v>79.679739191777941</v>
      </c>
      <c r="L40" s="64">
        <f t="shared" ref="L40:AA40" si="19">SUM(L38:L39)</f>
        <v>90.670048045816287</v>
      </c>
      <c r="M40" s="64">
        <f t="shared" si="19"/>
        <v>104.40793411336421</v>
      </c>
      <c r="N40" s="64">
        <f t="shared" si="19"/>
        <v>160.71907450612952</v>
      </c>
      <c r="O40" s="64">
        <f t="shared" si="19"/>
        <v>208.93479685796837</v>
      </c>
      <c r="P40" s="64">
        <f t="shared" si="19"/>
        <v>225.00670430858131</v>
      </c>
      <c r="Q40" s="64">
        <f t="shared" si="19"/>
        <v>227.82359240510237</v>
      </c>
      <c r="R40" s="64">
        <f t="shared" si="19"/>
        <v>243.7182616426677</v>
      </c>
      <c r="S40" s="64">
        <f t="shared" si="19"/>
        <v>254.31470780104456</v>
      </c>
      <c r="T40" s="64">
        <f t="shared" si="19"/>
        <v>270.20937703860977</v>
      </c>
      <c r="U40" s="64">
        <f t="shared" si="19"/>
        <v>280.80582319698669</v>
      </c>
      <c r="V40" s="64">
        <f t="shared" si="19"/>
        <v>286.1040462761751</v>
      </c>
      <c r="W40" s="64">
        <f t="shared" si="19"/>
        <v>290.08359914743914</v>
      </c>
      <c r="X40" s="64">
        <f t="shared" si="19"/>
        <v>295.26366341792914</v>
      </c>
      <c r="Y40" s="64">
        <f t="shared" si="19"/>
        <v>305.62379195890912</v>
      </c>
      <c r="Z40" s="64">
        <f t="shared" si="19"/>
        <v>318.38648294342408</v>
      </c>
      <c r="AA40" s="64">
        <f t="shared" si="19"/>
        <v>323.60593348348021</v>
      </c>
    </row>
  </sheetData>
  <mergeCells count="1">
    <mergeCell ref="I38:I4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Pullet (daily remove + 1 wk MS)</vt:lpstr>
      <vt:lpstr>Emission Tables &amp; calc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</dc:creator>
  <cp:lastModifiedBy>Maro</cp:lastModifiedBy>
  <cp:lastPrinted>2017-11-09T23:21:12Z</cp:lastPrinted>
  <dcterms:created xsi:type="dcterms:W3CDTF">2017-05-15T20:56:17Z</dcterms:created>
  <dcterms:modified xsi:type="dcterms:W3CDTF">2017-11-17T15:03:38Z</dcterms:modified>
</cp:coreProperties>
</file>